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mikeladze\Desktop\Juta roshka shatili Huts\სატენდერო პაკეტი 08.12.2021\"/>
    </mc:Choice>
  </mc:AlternateContent>
  <bookViews>
    <workbookView xWindow="135" yWindow="195" windowWidth="14160" windowHeight="15465" tabRatio="941"/>
  </bookViews>
  <sheets>
    <sheet name="გაერთიანებული (ბილიკი+ქოხები)" sheetId="146" r:id="rId1"/>
    <sheet name=" კრებსითი (ბილიკი)" sheetId="1" r:id="rId2"/>
    <sheet name="დღიური-ნაკრები" sheetId="77" r:id="rId3"/>
    <sheet name="დღიური სამუშაოები" sheetId="76" r:id="rId4"/>
    <sheet name="ჯამური სამშ.სამუშ." sheetId="2" r:id="rId5"/>
    <sheet name="ო.ბ-1" sheetId="3" r:id="rId6"/>
    <sheet name="1-1" sheetId="4" r:id="rId7"/>
    <sheet name="1-2" sheetId="5" r:id="rId8"/>
    <sheet name="1-3" sheetId="12" r:id="rId9"/>
    <sheet name="1-4" sheetId="13" r:id="rId10"/>
    <sheet name="1-5" sheetId="14" r:id="rId11"/>
    <sheet name="1-6" sheetId="15" r:id="rId12"/>
    <sheet name="1-7" sheetId="16" r:id="rId13"/>
    <sheet name="1-8" sheetId="17" r:id="rId14"/>
    <sheet name="1-9" sheetId="18" r:id="rId15"/>
    <sheet name="1-10" sheetId="19" r:id="rId16"/>
    <sheet name="1-11" sheetId="20" r:id="rId17"/>
    <sheet name="1-12" sheetId="21" r:id="rId18"/>
    <sheet name="1-13" sheetId="22" r:id="rId19"/>
    <sheet name="1-14" sheetId="23" r:id="rId20"/>
    <sheet name="1-15" sheetId="24" r:id="rId21"/>
    <sheet name="1-16" sheetId="25" r:id="rId22"/>
    <sheet name="1-17" sheetId="26" r:id="rId23"/>
    <sheet name="1-18" sheetId="27" r:id="rId24"/>
    <sheet name="1-19" sheetId="28" r:id="rId25"/>
    <sheet name="ო.ბ-2" sheetId="6" r:id="rId26"/>
    <sheet name="2-1" sheetId="8" r:id="rId27"/>
    <sheet name="2-2" sheetId="9" r:id="rId28"/>
    <sheet name="2-3" sheetId="29" r:id="rId29"/>
    <sheet name="2-4" sheetId="30" r:id="rId30"/>
    <sheet name="2-5" sheetId="31" r:id="rId31"/>
    <sheet name="2-6" sheetId="32" r:id="rId32"/>
    <sheet name="2-7" sheetId="33" r:id="rId33"/>
    <sheet name="2-8" sheetId="34" r:id="rId34"/>
    <sheet name="2-9" sheetId="35" r:id="rId35"/>
    <sheet name="2-10" sheetId="36" r:id="rId36"/>
    <sheet name="2-11" sheetId="37" r:id="rId37"/>
    <sheet name="2-12" sheetId="38" r:id="rId38"/>
    <sheet name="2-13" sheetId="39" r:id="rId39"/>
    <sheet name="2-14" sheetId="40" r:id="rId40"/>
    <sheet name="2-15" sheetId="41" r:id="rId41"/>
    <sheet name="2-16" sheetId="42" r:id="rId42"/>
    <sheet name="2-17" sheetId="43" r:id="rId43"/>
    <sheet name="2-18" sheetId="44" r:id="rId44"/>
    <sheet name="2-19" sheetId="45" r:id="rId45"/>
    <sheet name="2-20" sheetId="46" r:id="rId46"/>
    <sheet name="2-21" sheetId="47" r:id="rId47"/>
    <sheet name="2-22" sheetId="48" r:id="rId48"/>
    <sheet name="2-23" sheetId="49" r:id="rId49"/>
    <sheet name="2-24" sheetId="50" r:id="rId50"/>
    <sheet name="2-25" sheetId="51" r:id="rId51"/>
    <sheet name="2-26" sheetId="52" r:id="rId52"/>
    <sheet name="2-27" sheetId="53" r:id="rId53"/>
    <sheet name="2-28" sheetId="54" r:id="rId54"/>
    <sheet name="2-29" sheetId="55" r:id="rId55"/>
    <sheet name="2-30" sheetId="58" r:id="rId56"/>
    <sheet name="2-31" sheetId="56" r:id="rId57"/>
    <sheet name="2-32" sheetId="57" r:id="rId58"/>
    <sheet name="ო.ბ-3" sheetId="7" r:id="rId59"/>
    <sheet name="3-1" sheetId="10" r:id="rId60"/>
    <sheet name="3-2" sheetId="11" r:id="rId61"/>
    <sheet name="3-3" sheetId="59" r:id="rId62"/>
    <sheet name="3-4" sheetId="60" r:id="rId63"/>
    <sheet name="3-5" sheetId="61" r:id="rId64"/>
    <sheet name="3-6" sheetId="62" r:id="rId65"/>
    <sheet name="3-7" sheetId="63" r:id="rId66"/>
    <sheet name="3-8" sheetId="64" r:id="rId67"/>
    <sheet name="3-9" sheetId="65" r:id="rId68"/>
    <sheet name="3-10" sheetId="66" r:id="rId69"/>
    <sheet name="3-11" sheetId="67" r:id="rId70"/>
    <sheet name="3-12" sheetId="68" r:id="rId71"/>
    <sheet name="3-13" sheetId="69" r:id="rId72"/>
    <sheet name="3-14" sheetId="70" r:id="rId73"/>
    <sheet name="3-15" sheetId="71" r:id="rId74"/>
    <sheet name="3-16" sheetId="72" r:id="rId75"/>
    <sheet name="3-17" sheetId="73" r:id="rId76"/>
    <sheet name="3-18" sheetId="74" r:id="rId77"/>
    <sheet name="3-19" sheetId="75" r:id="rId78"/>
    <sheet name="კრებსითი (ქოხები)" sheetId="78" r:id="rId79"/>
    <sheet name="D-nakr" sheetId="79" r:id="rId80"/>
    <sheet name="D-dgiuri" sheetId="80" r:id="rId81"/>
    <sheet name="sv" sheetId="81" r:id="rId82"/>
    <sheet name="ob N1" sheetId="82" r:id="rId83"/>
    <sheet name=" N1-1" sheetId="83" r:id="rId84"/>
    <sheet name="N1-2" sheetId="84" r:id="rId85"/>
    <sheet name="N1-3" sheetId="85" r:id="rId86"/>
    <sheet name="N1-4 " sheetId="86" r:id="rId87"/>
    <sheet name="N1-5" sheetId="87" r:id="rId88"/>
    <sheet name="N1-6" sheetId="88" r:id="rId89"/>
    <sheet name="N1-7" sheetId="89" r:id="rId90"/>
    <sheet name="N1-8" sheetId="90" r:id="rId91"/>
    <sheet name="ob.N2" sheetId="91" r:id="rId92"/>
    <sheet name="N2-1" sheetId="92" r:id="rId93"/>
    <sheet name="N2-2" sheetId="93" r:id="rId94"/>
    <sheet name="N2-3" sheetId="94" r:id="rId95"/>
    <sheet name="N2-4" sheetId="95" r:id="rId96"/>
    <sheet name="N2-5" sheetId="96" r:id="rId97"/>
    <sheet name="N2-6" sheetId="97" r:id="rId98"/>
    <sheet name="N2-7" sheetId="98" r:id="rId99"/>
    <sheet name="N2-8" sheetId="99" r:id="rId100"/>
    <sheet name="ob.N3" sheetId="100" r:id="rId101"/>
    <sheet name="N3-1" sheetId="101" r:id="rId102"/>
    <sheet name="N3-2" sheetId="102" r:id="rId103"/>
    <sheet name="N3-3" sheetId="103" r:id="rId104"/>
    <sheet name="N3-4" sheetId="104" r:id="rId105"/>
    <sheet name="N3-5" sheetId="105" r:id="rId106"/>
    <sheet name="N3-6" sheetId="106" r:id="rId107"/>
    <sheet name="N3-7" sheetId="107" r:id="rId108"/>
    <sheet name="N3-8" sheetId="108" r:id="rId109"/>
    <sheet name="ob.N4" sheetId="109" r:id="rId110"/>
    <sheet name="N4-1" sheetId="110" r:id="rId111"/>
    <sheet name="N4-2" sheetId="111" r:id="rId112"/>
    <sheet name="N4-3" sheetId="112" r:id="rId113"/>
    <sheet name="N4-4" sheetId="113" r:id="rId114"/>
    <sheet name="N4-5" sheetId="114" r:id="rId115"/>
    <sheet name="N4-6" sheetId="115" r:id="rId116"/>
    <sheet name="N4-7" sheetId="116" r:id="rId117"/>
    <sheet name="N4-8" sheetId="117" r:id="rId118"/>
    <sheet name="ob.N5" sheetId="118" r:id="rId119"/>
    <sheet name="N5-1" sheetId="119" r:id="rId120"/>
    <sheet name="N5-2" sheetId="120" r:id="rId121"/>
    <sheet name="N5-3" sheetId="121" r:id="rId122"/>
    <sheet name="N5-4" sheetId="122" r:id="rId123"/>
    <sheet name="N5-5" sheetId="123" r:id="rId124"/>
    <sheet name="N5-6" sheetId="124" r:id="rId125"/>
    <sheet name="N5-7" sheetId="125" r:id="rId126"/>
    <sheet name="ob.N6" sheetId="126" r:id="rId127"/>
    <sheet name="N6-1" sheetId="127" r:id="rId128"/>
    <sheet name="N6-2" sheetId="128" r:id="rId129"/>
    <sheet name="N6-3" sheetId="129" r:id="rId130"/>
    <sheet name="N6-4" sheetId="130" r:id="rId131"/>
    <sheet name="N6-5" sheetId="131" r:id="rId132"/>
    <sheet name="N6-6" sheetId="132" r:id="rId133"/>
    <sheet name="N6-7" sheetId="133" r:id="rId134"/>
    <sheet name="N6-8" sheetId="134" r:id="rId135"/>
    <sheet name="ob.N7" sheetId="135" r:id="rId136"/>
    <sheet name="N7-1" sheetId="136" r:id="rId137"/>
    <sheet name="N7-2" sheetId="137" r:id="rId138"/>
    <sheet name="N7-3" sheetId="138" r:id="rId139"/>
    <sheet name="N7-4" sheetId="139" r:id="rId140"/>
    <sheet name="N7-5" sheetId="140" r:id="rId141"/>
    <sheet name="N7-6" sheetId="141" r:id="rId142"/>
    <sheet name="N7-7" sheetId="142" r:id="rId143"/>
    <sheet name="N7-8" sheetId="143" r:id="rId144"/>
  </sheets>
  <externalReferences>
    <externalReference r:id="rId145"/>
  </externalReferences>
  <definedNames>
    <definedName name="axali">#REF!</definedName>
    <definedName name="gavgiji">#REF!</definedName>
    <definedName name="lokal1">#REF!</definedName>
    <definedName name="rotal12">#REF!</definedName>
    <definedName name="saga">#REF!</definedName>
    <definedName name="saga1">#REF!</definedName>
    <definedName name="tatal3">#REF!</definedName>
    <definedName name="tcost">#REF!</definedName>
    <definedName name="tital12">#REF!</definedName>
    <definedName name="Total">#REF!</definedName>
    <definedName name="Total1">#REF!</definedName>
    <definedName name="total10">#REF!</definedName>
    <definedName name="total11">#REF!</definedName>
    <definedName name="total111">#REF!</definedName>
    <definedName name="total112">#REF!</definedName>
    <definedName name="total113">#REF!</definedName>
    <definedName name="total12">#REF!</definedName>
    <definedName name="total13">#REF!</definedName>
    <definedName name="total15">#REF!</definedName>
    <definedName name="total18">#REF!</definedName>
    <definedName name="Total2">#REF!</definedName>
    <definedName name="total2.7">#REF!</definedName>
    <definedName name="total2.9">#REF!</definedName>
    <definedName name="total20">#REF!</definedName>
    <definedName name="total21">#REF!</definedName>
    <definedName name="total22">#REF!</definedName>
    <definedName name="total23">#REF!</definedName>
    <definedName name="Total3">#REF!</definedName>
    <definedName name="total3.4">#REF!</definedName>
    <definedName name="total31">#REF!</definedName>
    <definedName name="Total4">#REF!</definedName>
    <definedName name="total40">#REF!</definedName>
    <definedName name="total43">#REF!</definedName>
    <definedName name="total44">#REF!</definedName>
    <definedName name="total4445">#REF!</definedName>
    <definedName name="total445">#REF!</definedName>
    <definedName name="total5">#REF!</definedName>
    <definedName name="total5.4">#REF!</definedName>
    <definedName name="total50">#REF!</definedName>
    <definedName name="total53">#REF!</definedName>
    <definedName name="total55">#REF!</definedName>
    <definedName name="total555">#REF!</definedName>
    <definedName name="total5555">#REF!</definedName>
    <definedName name="total6">#REF!</definedName>
    <definedName name="total65">#REF!</definedName>
    <definedName name="total66">#REF!</definedName>
    <definedName name="total661">#REF!</definedName>
    <definedName name="total67">#REF!</definedName>
    <definedName name="total7">#REF!</definedName>
    <definedName name="total77">#REF!</definedName>
    <definedName name="total778">#REF!</definedName>
    <definedName name="total8">#REF!</definedName>
    <definedName name="total88">#REF!</definedName>
    <definedName name="total9">#REF!</definedName>
    <definedName name="total91">#REF!</definedName>
    <definedName name="total912">#REF!</definedName>
    <definedName name="total92">#REF!</definedName>
    <definedName name="total99">#REF!</definedName>
    <definedName name="total999">#REF!</definedName>
    <definedName name="x">#REF!</definedName>
    <definedName name="x.2">#REF!</definedName>
    <definedName name="x.2.3">#REF!</definedName>
    <definedName name="x.2.4">#REF!</definedName>
    <definedName name="x.2.67">#REF!</definedName>
    <definedName name="x.2.7">#REF!</definedName>
    <definedName name="x.2.8">#REF!</definedName>
    <definedName name="x.2.g">#REF!</definedName>
    <definedName name="x.34">#REF!</definedName>
    <definedName name="x.gg">#REF!</definedName>
    <definedName name="x.ggg">#REF!</definedName>
    <definedName name="x2.8">#REF!</definedName>
    <definedName name="xarjT">#REF!</definedName>
    <definedName name="xxxx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46" l="1"/>
  <c r="F19" i="143" l="1"/>
  <c r="F21" i="142"/>
  <c r="A20" i="142"/>
  <c r="F27" i="141"/>
  <c r="A11" i="141"/>
  <c r="A12" i="141" s="1"/>
  <c r="A13" i="141" s="1"/>
  <c r="A14" i="141" s="1"/>
  <c r="A15" i="141" s="1"/>
  <c r="A16" i="141" s="1"/>
  <c r="A17" i="141" s="1"/>
  <c r="A18" i="141" s="1"/>
  <c r="A19" i="141" s="1"/>
  <c r="A20" i="141" s="1"/>
  <c r="A21" i="141" s="1"/>
  <c r="A22" i="141" s="1"/>
  <c r="A23" i="141" s="1"/>
  <c r="A24" i="141" s="1"/>
  <c r="A25" i="141" s="1"/>
  <c r="A26" i="141" s="1"/>
  <c r="F113" i="140"/>
  <c r="D10" i="135" s="1"/>
  <c r="A11" i="140"/>
  <c r="A12" i="140" s="1"/>
  <c r="A13" i="140" s="1"/>
  <c r="A14" i="140" s="1"/>
  <c r="A15" i="140" s="1"/>
  <c r="A16" i="140" s="1"/>
  <c r="A17" i="140" s="1"/>
  <c r="A18" i="140" s="1"/>
  <c r="A19" i="140" s="1"/>
  <c r="A20" i="140" s="1"/>
  <c r="A21" i="140" s="1"/>
  <c r="A22" i="140" s="1"/>
  <c r="A23" i="140" s="1"/>
  <c r="A24" i="140" s="1"/>
  <c r="A25" i="140" s="1"/>
  <c r="A26" i="140" s="1"/>
  <c r="A27" i="140" s="1"/>
  <c r="A28" i="140" s="1"/>
  <c r="A29" i="140" s="1"/>
  <c r="A30" i="140" s="1"/>
  <c r="A31" i="140" s="1"/>
  <c r="A32" i="140" s="1"/>
  <c r="A33" i="140" s="1"/>
  <c r="A34" i="140" s="1"/>
  <c r="A35" i="140" s="1"/>
  <c r="A36" i="140" s="1"/>
  <c r="A37" i="140" s="1"/>
  <c r="A38" i="140" s="1"/>
  <c r="A39" i="140" s="1"/>
  <c r="A40" i="140" s="1"/>
  <c r="A41" i="140" s="1"/>
  <c r="A42" i="140" s="1"/>
  <c r="A43" i="140" s="1"/>
  <c r="A44" i="140" s="1"/>
  <c r="A45" i="140" s="1"/>
  <c r="A46" i="140" s="1"/>
  <c r="A47" i="140" s="1"/>
  <c r="A48" i="140" s="1"/>
  <c r="A49" i="140" s="1"/>
  <c r="A50" i="140" s="1"/>
  <c r="A51" i="140" s="1"/>
  <c r="A52" i="140" s="1"/>
  <c r="A53" i="140" s="1"/>
  <c r="A54" i="140" s="1"/>
  <c r="A55" i="140" s="1"/>
  <c r="A56" i="140" s="1"/>
  <c r="A57" i="140" s="1"/>
  <c r="A58" i="140" s="1"/>
  <c r="A59" i="140" s="1"/>
  <c r="A60" i="140" s="1"/>
  <c r="A61" i="140" s="1"/>
  <c r="A62" i="140" s="1"/>
  <c r="A63" i="140" s="1"/>
  <c r="A64" i="140" s="1"/>
  <c r="A65" i="140" s="1"/>
  <c r="A66" i="140" s="1"/>
  <c r="A67" i="140" s="1"/>
  <c r="A68" i="140" s="1"/>
  <c r="A69" i="140" s="1"/>
  <c r="A70" i="140" s="1"/>
  <c r="A71" i="140" s="1"/>
  <c r="A72" i="140" s="1"/>
  <c r="A73" i="140" s="1"/>
  <c r="A74" i="140" s="1"/>
  <c r="A75" i="140" s="1"/>
  <c r="A76" i="140" s="1"/>
  <c r="A77" i="140" s="1"/>
  <c r="A78" i="140" s="1"/>
  <c r="A79" i="140" s="1"/>
  <c r="A80" i="140" s="1"/>
  <c r="A81" i="140" s="1"/>
  <c r="A82" i="140" s="1"/>
  <c r="A83" i="140" s="1"/>
  <c r="A84" i="140" s="1"/>
  <c r="A85" i="140" s="1"/>
  <c r="A86" i="140" s="1"/>
  <c r="A87" i="140" s="1"/>
  <c r="A88" i="140" s="1"/>
  <c r="A89" i="140" s="1"/>
  <c r="A90" i="140" s="1"/>
  <c r="A91" i="140" s="1"/>
  <c r="A92" i="140" s="1"/>
  <c r="A93" i="140" s="1"/>
  <c r="A94" i="140" s="1"/>
  <c r="A95" i="140" s="1"/>
  <c r="A96" i="140" s="1"/>
  <c r="A97" i="140" s="1"/>
  <c r="A98" i="140" s="1"/>
  <c r="A99" i="140" s="1"/>
  <c r="A100" i="140" s="1"/>
  <c r="A101" i="140" s="1"/>
  <c r="A102" i="140" s="1"/>
  <c r="A103" i="140" s="1"/>
  <c r="A104" i="140" s="1"/>
  <c r="A105" i="140" s="1"/>
  <c r="A106" i="140" s="1"/>
  <c r="A107" i="140" s="1"/>
  <c r="A108" i="140" s="1"/>
  <c r="A109" i="140" s="1"/>
  <c r="A110" i="140" s="1"/>
  <c r="A111" i="140" s="1"/>
  <c r="A112" i="140" s="1"/>
  <c r="F25" i="139"/>
  <c r="F16" i="138"/>
  <c r="D8" i="135" s="1"/>
  <c r="F17" i="137"/>
  <c r="D16" i="137"/>
  <c r="D15" i="137"/>
  <c r="D11" i="137"/>
  <c r="D9" i="137"/>
  <c r="F77" i="136"/>
  <c r="D6" i="135" s="1"/>
  <c r="D76" i="136"/>
  <c r="F75" i="136"/>
  <c r="D67" i="136"/>
  <c r="D65" i="136"/>
  <c r="D58" i="136"/>
  <c r="D57" i="136"/>
  <c r="D48" i="136"/>
  <c r="D43" i="136"/>
  <c r="D42" i="136"/>
  <c r="D39" i="136"/>
  <c r="D37" i="136"/>
  <c r="D32" i="136"/>
  <c r="D30" i="136"/>
  <c r="D29" i="136"/>
  <c r="D28" i="136"/>
  <c r="D27" i="136"/>
  <c r="D17" i="136"/>
  <c r="D20" i="136" s="1"/>
  <c r="D13" i="136"/>
  <c r="D15" i="136" s="1"/>
  <c r="D11" i="136"/>
  <c r="D13" i="135"/>
  <c r="D12" i="135"/>
  <c r="D11" i="135"/>
  <c r="D9" i="135"/>
  <c r="D7" i="135"/>
  <c r="F19" i="134"/>
  <c r="F21" i="133"/>
  <c r="A20" i="133"/>
  <c r="F27" i="132"/>
  <c r="A11" i="132"/>
  <c r="A12" i="132" s="1"/>
  <c r="A13" i="132" s="1"/>
  <c r="A14" i="132" s="1"/>
  <c r="A15" i="132" s="1"/>
  <c r="A16" i="132" s="1"/>
  <c r="A17" i="132" s="1"/>
  <c r="A18" i="132" s="1"/>
  <c r="A19" i="132" s="1"/>
  <c r="A20" i="132" s="1"/>
  <c r="A21" i="132" s="1"/>
  <c r="A22" i="132" s="1"/>
  <c r="A23" i="132" s="1"/>
  <c r="A24" i="132" s="1"/>
  <c r="A25" i="132" s="1"/>
  <c r="A26" i="132" s="1"/>
  <c r="F113" i="131"/>
  <c r="D10" i="126" s="1"/>
  <c r="A13" i="131"/>
  <c r="A14" i="131" s="1"/>
  <c r="A15" i="131" s="1"/>
  <c r="A16" i="131" s="1"/>
  <c r="A17" i="131" s="1"/>
  <c r="A18" i="131" s="1"/>
  <c r="A19" i="131" s="1"/>
  <c r="A20" i="131" s="1"/>
  <c r="A21" i="131" s="1"/>
  <c r="A22" i="131" s="1"/>
  <c r="A23" i="131" s="1"/>
  <c r="A24" i="131" s="1"/>
  <c r="A25" i="131" s="1"/>
  <c r="A26" i="131" s="1"/>
  <c r="A27" i="131" s="1"/>
  <c r="A28" i="131" s="1"/>
  <c r="A29" i="131" s="1"/>
  <c r="A30" i="131" s="1"/>
  <c r="A31" i="131" s="1"/>
  <c r="A32" i="131" s="1"/>
  <c r="A33" i="131" s="1"/>
  <c r="A34" i="131" s="1"/>
  <c r="A35" i="131" s="1"/>
  <c r="A36" i="131" s="1"/>
  <c r="A37" i="131" s="1"/>
  <c r="A38" i="131" s="1"/>
  <c r="A39" i="131" s="1"/>
  <c r="A40" i="131" s="1"/>
  <c r="A41" i="131" s="1"/>
  <c r="A42" i="131" s="1"/>
  <c r="A43" i="131" s="1"/>
  <c r="A44" i="131" s="1"/>
  <c r="A45" i="131" s="1"/>
  <c r="A46" i="131" s="1"/>
  <c r="A47" i="131" s="1"/>
  <c r="A48" i="131" s="1"/>
  <c r="A49" i="131" s="1"/>
  <c r="A50" i="131" s="1"/>
  <c r="A51" i="131" s="1"/>
  <c r="A52" i="131" s="1"/>
  <c r="A53" i="131" s="1"/>
  <c r="A54" i="131" s="1"/>
  <c r="A55" i="131" s="1"/>
  <c r="A56" i="131" s="1"/>
  <c r="A57" i="131" s="1"/>
  <c r="A58" i="131" s="1"/>
  <c r="A59" i="131" s="1"/>
  <c r="A60" i="131" s="1"/>
  <c r="A61" i="131" s="1"/>
  <c r="A62" i="131" s="1"/>
  <c r="A63" i="131" s="1"/>
  <c r="A64" i="131" s="1"/>
  <c r="A65" i="131" s="1"/>
  <c r="A66" i="131" s="1"/>
  <c r="A67" i="131" s="1"/>
  <c r="A68" i="131" s="1"/>
  <c r="A69" i="131" s="1"/>
  <c r="A70" i="131" s="1"/>
  <c r="A71" i="131" s="1"/>
  <c r="A72" i="131" s="1"/>
  <c r="A73" i="131" s="1"/>
  <c r="A74" i="131" s="1"/>
  <c r="A75" i="131" s="1"/>
  <c r="A76" i="131" s="1"/>
  <c r="A77" i="131" s="1"/>
  <c r="A78" i="131" s="1"/>
  <c r="A79" i="131" s="1"/>
  <c r="A80" i="131" s="1"/>
  <c r="A81" i="131" s="1"/>
  <c r="A82" i="131" s="1"/>
  <c r="A83" i="131" s="1"/>
  <c r="A84" i="131" s="1"/>
  <c r="A85" i="131" s="1"/>
  <c r="A86" i="131" s="1"/>
  <c r="A87" i="131" s="1"/>
  <c r="A88" i="131" s="1"/>
  <c r="A89" i="131" s="1"/>
  <c r="A90" i="131" s="1"/>
  <c r="A91" i="131" s="1"/>
  <c r="A92" i="131" s="1"/>
  <c r="A93" i="131" s="1"/>
  <c r="A94" i="131" s="1"/>
  <c r="A95" i="131" s="1"/>
  <c r="A96" i="131" s="1"/>
  <c r="A97" i="131" s="1"/>
  <c r="A98" i="131" s="1"/>
  <c r="A99" i="131" s="1"/>
  <c r="A100" i="131" s="1"/>
  <c r="A101" i="131" s="1"/>
  <c r="A102" i="131" s="1"/>
  <c r="A103" i="131" s="1"/>
  <c r="A104" i="131" s="1"/>
  <c r="A105" i="131" s="1"/>
  <c r="A106" i="131" s="1"/>
  <c r="A107" i="131" s="1"/>
  <c r="A108" i="131" s="1"/>
  <c r="A109" i="131" s="1"/>
  <c r="A110" i="131" s="1"/>
  <c r="A111" i="131" s="1"/>
  <c r="A112" i="131" s="1"/>
  <c r="A11" i="131"/>
  <c r="A12" i="131" s="1"/>
  <c r="F25" i="130"/>
  <c r="F16" i="129"/>
  <c r="D8" i="126" s="1"/>
  <c r="F17" i="128"/>
  <c r="D7" i="126" s="1"/>
  <c r="D16" i="128"/>
  <c r="D15" i="128"/>
  <c r="D11" i="128"/>
  <c r="D9" i="128"/>
  <c r="F83" i="127"/>
  <c r="D6" i="126" s="1"/>
  <c r="F81" i="127"/>
  <c r="D74" i="127"/>
  <c r="D73" i="127"/>
  <c r="D65" i="127"/>
  <c r="D64" i="127"/>
  <c r="D56" i="127"/>
  <c r="D55" i="127"/>
  <c r="D53" i="127"/>
  <c r="D52" i="127"/>
  <c r="D44" i="127"/>
  <c r="D43" i="127"/>
  <c r="D40" i="127"/>
  <c r="D38" i="127"/>
  <c r="D33" i="127"/>
  <c r="D31" i="127"/>
  <c r="D30" i="127"/>
  <c r="D29" i="127"/>
  <c r="D28" i="127"/>
  <c r="D18" i="127"/>
  <c r="D21" i="127" s="1"/>
  <c r="D14" i="127"/>
  <c r="D16" i="127" s="1"/>
  <c r="D11" i="127"/>
  <c r="D13" i="126"/>
  <c r="D12" i="126"/>
  <c r="D11" i="126"/>
  <c r="D9" i="126"/>
  <c r="F19" i="125"/>
  <c r="F21" i="124"/>
  <c r="F27" i="123"/>
  <c r="F25" i="122"/>
  <c r="F16" i="121"/>
  <c r="F17" i="120"/>
  <c r="D16" i="120"/>
  <c r="D15" i="120"/>
  <c r="D11" i="120"/>
  <c r="D9" i="120"/>
  <c r="F84" i="119"/>
  <c r="D83" i="119"/>
  <c r="F82" i="119"/>
  <c r="D80" i="119"/>
  <c r="D73" i="119"/>
  <c r="D71" i="119"/>
  <c r="D70" i="119"/>
  <c r="D72" i="119" s="1"/>
  <c r="D68" i="119"/>
  <c r="D62" i="119"/>
  <c r="D58" i="119"/>
  <c r="D57" i="119"/>
  <c r="D52" i="119"/>
  <c r="D46" i="119"/>
  <c r="D43" i="119"/>
  <c r="D39" i="119"/>
  <c r="D38" i="119"/>
  <c r="D29" i="119"/>
  <c r="D31" i="119" s="1"/>
  <c r="D27" i="119"/>
  <c r="D21" i="119"/>
  <c r="D26" i="119" s="1"/>
  <c r="D28" i="119" s="1"/>
  <c r="D20" i="119"/>
  <c r="D17" i="119"/>
  <c r="D16" i="119"/>
  <c r="D15" i="119"/>
  <c r="D14" i="119"/>
  <c r="D12" i="118"/>
  <c r="D11" i="118"/>
  <c r="D10" i="118"/>
  <c r="D9" i="118"/>
  <c r="D8" i="118"/>
  <c r="D7" i="118"/>
  <c r="D6" i="118"/>
  <c r="D13" i="118" s="1"/>
  <c r="F19" i="117"/>
  <c r="D13" i="109" s="1"/>
  <c r="F21" i="116"/>
  <c r="A20" i="116"/>
  <c r="F27" i="115"/>
  <c r="A12" i="115"/>
  <c r="A13" i="115" s="1"/>
  <c r="A14" i="115" s="1"/>
  <c r="A15" i="115" s="1"/>
  <c r="A16" i="115" s="1"/>
  <c r="A17" i="115" s="1"/>
  <c r="A18" i="115" s="1"/>
  <c r="A19" i="115" s="1"/>
  <c r="A20" i="115" s="1"/>
  <c r="A21" i="115" s="1"/>
  <c r="A22" i="115" s="1"/>
  <c r="A23" i="115" s="1"/>
  <c r="A24" i="115" s="1"/>
  <c r="A25" i="115" s="1"/>
  <c r="A26" i="115" s="1"/>
  <c r="A11" i="115"/>
  <c r="F113" i="114"/>
  <c r="A12" i="114"/>
  <c r="A13" i="114" s="1"/>
  <c r="A14" i="114" s="1"/>
  <c r="A15" i="114" s="1"/>
  <c r="A16" i="114" s="1"/>
  <c r="A17" i="114" s="1"/>
  <c r="A18" i="114" s="1"/>
  <c r="A19" i="114" s="1"/>
  <c r="A20" i="114" s="1"/>
  <c r="A21" i="114" s="1"/>
  <c r="A22" i="114" s="1"/>
  <c r="A23" i="114" s="1"/>
  <c r="A24" i="114" s="1"/>
  <c r="A25" i="114" s="1"/>
  <c r="A26" i="114" s="1"/>
  <c r="A27" i="114" s="1"/>
  <c r="A28" i="114" s="1"/>
  <c r="A29" i="114" s="1"/>
  <c r="A30" i="114" s="1"/>
  <c r="A31" i="114" s="1"/>
  <c r="A32" i="114" s="1"/>
  <c r="A33" i="114" s="1"/>
  <c r="A34" i="114" s="1"/>
  <c r="A35" i="114" s="1"/>
  <c r="A36" i="114" s="1"/>
  <c r="A37" i="114" s="1"/>
  <c r="A38" i="114" s="1"/>
  <c r="A39" i="114" s="1"/>
  <c r="A40" i="114" s="1"/>
  <c r="A41" i="114" s="1"/>
  <c r="A42" i="114" s="1"/>
  <c r="A43" i="114" s="1"/>
  <c r="A44" i="114" s="1"/>
  <c r="A45" i="114" s="1"/>
  <c r="A46" i="114" s="1"/>
  <c r="A47" i="114" s="1"/>
  <c r="A48" i="114" s="1"/>
  <c r="A49" i="114" s="1"/>
  <c r="A50" i="114" s="1"/>
  <c r="A51" i="114" s="1"/>
  <c r="A52" i="114" s="1"/>
  <c r="A53" i="114" s="1"/>
  <c r="A54" i="114" s="1"/>
  <c r="A55" i="114" s="1"/>
  <c r="A56" i="114" s="1"/>
  <c r="A57" i="114" s="1"/>
  <c r="A58" i="114" s="1"/>
  <c r="A59" i="114" s="1"/>
  <c r="A60" i="114" s="1"/>
  <c r="A61" i="114" s="1"/>
  <c r="A62" i="114" s="1"/>
  <c r="A63" i="114" s="1"/>
  <c r="A64" i="114" s="1"/>
  <c r="A65" i="114" s="1"/>
  <c r="A66" i="114" s="1"/>
  <c r="A67" i="114" s="1"/>
  <c r="A68" i="114" s="1"/>
  <c r="A69" i="114" s="1"/>
  <c r="A70" i="114" s="1"/>
  <c r="A71" i="114" s="1"/>
  <c r="A72" i="114" s="1"/>
  <c r="A73" i="114" s="1"/>
  <c r="A74" i="114" s="1"/>
  <c r="A75" i="114" s="1"/>
  <c r="A76" i="114" s="1"/>
  <c r="A77" i="114" s="1"/>
  <c r="A78" i="114" s="1"/>
  <c r="A79" i="114" s="1"/>
  <c r="A80" i="114" s="1"/>
  <c r="A81" i="114" s="1"/>
  <c r="A82" i="114" s="1"/>
  <c r="A83" i="114" s="1"/>
  <c r="A84" i="114" s="1"/>
  <c r="A85" i="114" s="1"/>
  <c r="A86" i="114" s="1"/>
  <c r="A87" i="114" s="1"/>
  <c r="A88" i="114" s="1"/>
  <c r="A89" i="114" s="1"/>
  <c r="A90" i="114" s="1"/>
  <c r="A91" i="114" s="1"/>
  <c r="A92" i="114" s="1"/>
  <c r="A93" i="114" s="1"/>
  <c r="A94" i="114" s="1"/>
  <c r="A95" i="114" s="1"/>
  <c r="A96" i="114" s="1"/>
  <c r="A97" i="114" s="1"/>
  <c r="A98" i="114" s="1"/>
  <c r="A99" i="114" s="1"/>
  <c r="A100" i="114" s="1"/>
  <c r="A101" i="114" s="1"/>
  <c r="A102" i="114" s="1"/>
  <c r="A103" i="114" s="1"/>
  <c r="A104" i="114" s="1"/>
  <c r="A105" i="114" s="1"/>
  <c r="A106" i="114" s="1"/>
  <c r="A107" i="114" s="1"/>
  <c r="A108" i="114" s="1"/>
  <c r="A109" i="114" s="1"/>
  <c r="A110" i="114" s="1"/>
  <c r="A111" i="114" s="1"/>
  <c r="A112" i="114" s="1"/>
  <c r="A11" i="114"/>
  <c r="F25" i="113"/>
  <c r="F16" i="112"/>
  <c r="F18" i="111"/>
  <c r="D17" i="111"/>
  <c r="D16" i="111"/>
  <c r="D12" i="111"/>
  <c r="D10" i="111"/>
  <c r="F77" i="110"/>
  <c r="D76" i="110"/>
  <c r="F75" i="110"/>
  <c r="D68" i="110"/>
  <c r="D53" i="110"/>
  <c r="D50" i="110"/>
  <c r="D49" i="110"/>
  <c r="D47" i="110"/>
  <c r="D42" i="110"/>
  <c r="D41" i="110"/>
  <c r="D39" i="110"/>
  <c r="D37" i="110"/>
  <c r="D32" i="110"/>
  <c r="D28" i="110"/>
  <c r="D27" i="110"/>
  <c r="D20" i="110"/>
  <c r="D17" i="110"/>
  <c r="D13" i="110"/>
  <c r="D15" i="110" s="1"/>
  <c r="D12" i="109"/>
  <c r="D11" i="109"/>
  <c r="D10" i="109"/>
  <c r="D9" i="109"/>
  <c r="D8" i="109"/>
  <c r="D7" i="109"/>
  <c r="D6" i="109"/>
  <c r="D14" i="109" s="1"/>
  <c r="D10" i="81" s="1"/>
  <c r="F19" i="108"/>
  <c r="F21" i="107"/>
  <c r="A20" i="107"/>
  <c r="F27" i="106"/>
  <c r="D11" i="100" s="1"/>
  <c r="A15" i="106"/>
  <c r="A16" i="106" s="1"/>
  <c r="A17" i="106" s="1"/>
  <c r="A18" i="106" s="1"/>
  <c r="A19" i="106" s="1"/>
  <c r="A20" i="106" s="1"/>
  <c r="A21" i="106" s="1"/>
  <c r="A22" i="106" s="1"/>
  <c r="A23" i="106" s="1"/>
  <c r="A24" i="106" s="1"/>
  <c r="A25" i="106" s="1"/>
  <c r="A26" i="106" s="1"/>
  <c r="A11" i="106"/>
  <c r="A12" i="106" s="1"/>
  <c r="A13" i="106" s="1"/>
  <c r="A14" i="106" s="1"/>
  <c r="F113" i="105"/>
  <c r="A27" i="105"/>
  <c r="A28" i="105" s="1"/>
  <c r="A29" i="105" s="1"/>
  <c r="A30" i="105" s="1"/>
  <c r="A31" i="105" s="1"/>
  <c r="A32" i="105" s="1"/>
  <c r="A33" i="105" s="1"/>
  <c r="A34" i="105" s="1"/>
  <c r="A35" i="105" s="1"/>
  <c r="A36" i="105" s="1"/>
  <c r="A37" i="105" s="1"/>
  <c r="A38" i="105" s="1"/>
  <c r="A39" i="105" s="1"/>
  <c r="A40" i="105" s="1"/>
  <c r="A41" i="105" s="1"/>
  <c r="A42" i="105" s="1"/>
  <c r="A43" i="105" s="1"/>
  <c r="A44" i="105" s="1"/>
  <c r="A45" i="105" s="1"/>
  <c r="A46" i="105" s="1"/>
  <c r="A47" i="105" s="1"/>
  <c r="A48" i="105" s="1"/>
  <c r="A49" i="105" s="1"/>
  <c r="A50" i="105" s="1"/>
  <c r="A51" i="105" s="1"/>
  <c r="A52" i="105" s="1"/>
  <c r="A53" i="105" s="1"/>
  <c r="A54" i="105" s="1"/>
  <c r="A55" i="105" s="1"/>
  <c r="A56" i="105" s="1"/>
  <c r="A57" i="105" s="1"/>
  <c r="A58" i="105" s="1"/>
  <c r="A59" i="105" s="1"/>
  <c r="A60" i="105" s="1"/>
  <c r="A61" i="105" s="1"/>
  <c r="A62" i="105" s="1"/>
  <c r="A63" i="105" s="1"/>
  <c r="A64" i="105" s="1"/>
  <c r="A65" i="105" s="1"/>
  <c r="A66" i="105" s="1"/>
  <c r="A67" i="105" s="1"/>
  <c r="A68" i="105" s="1"/>
  <c r="A69" i="105" s="1"/>
  <c r="A70" i="105" s="1"/>
  <c r="A71" i="105" s="1"/>
  <c r="A72" i="105" s="1"/>
  <c r="A73" i="105" s="1"/>
  <c r="A74" i="105" s="1"/>
  <c r="A75" i="105" s="1"/>
  <c r="A76" i="105" s="1"/>
  <c r="A77" i="105" s="1"/>
  <c r="A78" i="105" s="1"/>
  <c r="A79" i="105" s="1"/>
  <c r="A80" i="105" s="1"/>
  <c r="A81" i="105" s="1"/>
  <c r="A82" i="105" s="1"/>
  <c r="A83" i="105" s="1"/>
  <c r="A84" i="105" s="1"/>
  <c r="A85" i="105" s="1"/>
  <c r="A86" i="105" s="1"/>
  <c r="A87" i="105" s="1"/>
  <c r="A88" i="105" s="1"/>
  <c r="A89" i="105" s="1"/>
  <c r="A90" i="105" s="1"/>
  <c r="A91" i="105" s="1"/>
  <c r="A92" i="105" s="1"/>
  <c r="A93" i="105" s="1"/>
  <c r="A94" i="105" s="1"/>
  <c r="A95" i="105" s="1"/>
  <c r="A96" i="105" s="1"/>
  <c r="A97" i="105" s="1"/>
  <c r="A98" i="105" s="1"/>
  <c r="A99" i="105" s="1"/>
  <c r="A100" i="105" s="1"/>
  <c r="A101" i="105" s="1"/>
  <c r="A102" i="105" s="1"/>
  <c r="A103" i="105" s="1"/>
  <c r="A104" i="105" s="1"/>
  <c r="A105" i="105" s="1"/>
  <c r="A106" i="105" s="1"/>
  <c r="A107" i="105" s="1"/>
  <c r="A108" i="105" s="1"/>
  <c r="A109" i="105" s="1"/>
  <c r="A110" i="105" s="1"/>
  <c r="A111" i="105" s="1"/>
  <c r="A112" i="105" s="1"/>
  <c r="A11" i="105"/>
  <c r="A12" i="105" s="1"/>
  <c r="A13" i="105" s="1"/>
  <c r="A14" i="105" s="1"/>
  <c r="A15" i="105" s="1"/>
  <c r="A16" i="105" s="1"/>
  <c r="A17" i="105" s="1"/>
  <c r="A18" i="105" s="1"/>
  <c r="A19" i="105" s="1"/>
  <c r="A20" i="105" s="1"/>
  <c r="A21" i="105" s="1"/>
  <c r="A22" i="105" s="1"/>
  <c r="A23" i="105" s="1"/>
  <c r="A24" i="105" s="1"/>
  <c r="A25" i="105" s="1"/>
  <c r="A26" i="105" s="1"/>
  <c r="F25" i="104"/>
  <c r="F16" i="103"/>
  <c r="D8" i="100" s="1"/>
  <c r="F18" i="102"/>
  <c r="D17" i="102"/>
  <c r="D16" i="102"/>
  <c r="D12" i="102"/>
  <c r="D10" i="102"/>
  <c r="F74" i="101"/>
  <c r="D69" i="101"/>
  <c r="D51" i="101"/>
  <c r="D50" i="101"/>
  <c r="D47" i="101"/>
  <c r="D44" i="101"/>
  <c r="D43" i="101"/>
  <c r="D41" i="101"/>
  <c r="D40" i="101"/>
  <c r="D37" i="101"/>
  <c r="D35" i="101"/>
  <c r="D29" i="101"/>
  <c r="D28" i="101"/>
  <c r="D21" i="101"/>
  <c r="D17" i="101"/>
  <c r="D16" i="101"/>
  <c r="D15" i="101"/>
  <c r="D11" i="101"/>
  <c r="D13" i="101" s="1"/>
  <c r="D13" i="100"/>
  <c r="D12" i="100"/>
  <c r="D10" i="100"/>
  <c r="D9" i="100"/>
  <c r="D7" i="100"/>
  <c r="D6" i="100"/>
  <c r="D14" i="100" s="1"/>
  <c r="D9" i="81" s="1"/>
  <c r="F19" i="99"/>
  <c r="F21" i="98"/>
  <c r="A20" i="98"/>
  <c r="F27" i="97"/>
  <c r="A14" i="97"/>
  <c r="A15" i="97" s="1"/>
  <c r="A16" i="97" s="1"/>
  <c r="A17" i="97" s="1"/>
  <c r="A18" i="97" s="1"/>
  <c r="A19" i="97" s="1"/>
  <c r="A20" i="97" s="1"/>
  <c r="A21" i="97" s="1"/>
  <c r="A22" i="97" s="1"/>
  <c r="A23" i="97" s="1"/>
  <c r="A24" i="97" s="1"/>
  <c r="A25" i="97" s="1"/>
  <c r="A26" i="97" s="1"/>
  <c r="A11" i="97"/>
  <c r="A12" i="97" s="1"/>
  <c r="A13" i="97" s="1"/>
  <c r="F113" i="96"/>
  <c r="A12" i="96"/>
  <c r="A13" i="96" s="1"/>
  <c r="A14" i="96" s="1"/>
  <c r="A15" i="96" s="1"/>
  <c r="A16" i="96" s="1"/>
  <c r="A17" i="96" s="1"/>
  <c r="A18" i="96" s="1"/>
  <c r="A19" i="96" s="1"/>
  <c r="A20" i="96" s="1"/>
  <c r="A21" i="96" s="1"/>
  <c r="A22" i="96" s="1"/>
  <c r="A23" i="96" s="1"/>
  <c r="A24" i="96" s="1"/>
  <c r="A25" i="96" s="1"/>
  <c r="A26" i="96" s="1"/>
  <c r="A27" i="96" s="1"/>
  <c r="A28" i="96" s="1"/>
  <c r="A29" i="96" s="1"/>
  <c r="A30" i="96" s="1"/>
  <c r="A31" i="96" s="1"/>
  <c r="A32" i="96" s="1"/>
  <c r="A33" i="96" s="1"/>
  <c r="A34" i="96" s="1"/>
  <c r="A35" i="96" s="1"/>
  <c r="A36" i="96" s="1"/>
  <c r="A37" i="96" s="1"/>
  <c r="A38" i="96" s="1"/>
  <c r="A39" i="96" s="1"/>
  <c r="A40" i="96" s="1"/>
  <c r="A41" i="96" s="1"/>
  <c r="A42" i="96" s="1"/>
  <c r="A43" i="96" s="1"/>
  <c r="A44" i="96" s="1"/>
  <c r="A45" i="96" s="1"/>
  <c r="A46" i="96" s="1"/>
  <c r="A47" i="96" s="1"/>
  <c r="A48" i="96" s="1"/>
  <c r="A49" i="96" s="1"/>
  <c r="A50" i="96" s="1"/>
  <c r="A51" i="96" s="1"/>
  <c r="A52" i="96" s="1"/>
  <c r="A53" i="96" s="1"/>
  <c r="A54" i="96" s="1"/>
  <c r="A55" i="96" s="1"/>
  <c r="A56" i="96" s="1"/>
  <c r="A57" i="96" s="1"/>
  <c r="A58" i="96" s="1"/>
  <c r="A59" i="96" s="1"/>
  <c r="A60" i="96" s="1"/>
  <c r="A61" i="96" s="1"/>
  <c r="A62" i="96" s="1"/>
  <c r="A63" i="96" s="1"/>
  <c r="A64" i="96" s="1"/>
  <c r="A65" i="96" s="1"/>
  <c r="A66" i="96" s="1"/>
  <c r="A67" i="96" s="1"/>
  <c r="A68" i="96" s="1"/>
  <c r="A69" i="96" s="1"/>
  <c r="A70" i="96" s="1"/>
  <c r="A71" i="96" s="1"/>
  <c r="A72" i="96" s="1"/>
  <c r="A73" i="96" s="1"/>
  <c r="A74" i="96" s="1"/>
  <c r="A75" i="96" s="1"/>
  <c r="A76" i="96" s="1"/>
  <c r="A77" i="96" s="1"/>
  <c r="A78" i="96" s="1"/>
  <c r="A79" i="96" s="1"/>
  <c r="A80" i="96" s="1"/>
  <c r="A81" i="96" s="1"/>
  <c r="A82" i="96" s="1"/>
  <c r="A83" i="96" s="1"/>
  <c r="A84" i="96" s="1"/>
  <c r="A85" i="96" s="1"/>
  <c r="A86" i="96" s="1"/>
  <c r="A87" i="96" s="1"/>
  <c r="A88" i="96" s="1"/>
  <c r="A89" i="96" s="1"/>
  <c r="A90" i="96" s="1"/>
  <c r="A91" i="96" s="1"/>
  <c r="A92" i="96" s="1"/>
  <c r="A93" i="96" s="1"/>
  <c r="A94" i="96" s="1"/>
  <c r="A95" i="96" s="1"/>
  <c r="A96" i="96" s="1"/>
  <c r="A97" i="96" s="1"/>
  <c r="A98" i="96" s="1"/>
  <c r="A99" i="96" s="1"/>
  <c r="A100" i="96" s="1"/>
  <c r="A101" i="96" s="1"/>
  <c r="A102" i="96" s="1"/>
  <c r="A103" i="96" s="1"/>
  <c r="A104" i="96" s="1"/>
  <c r="A105" i="96" s="1"/>
  <c r="A106" i="96" s="1"/>
  <c r="A107" i="96" s="1"/>
  <c r="A108" i="96" s="1"/>
  <c r="A109" i="96" s="1"/>
  <c r="A110" i="96" s="1"/>
  <c r="A111" i="96" s="1"/>
  <c r="A112" i="96" s="1"/>
  <c r="A11" i="96"/>
  <c r="F25" i="95"/>
  <c r="F16" i="94"/>
  <c r="F18" i="93"/>
  <c r="D17" i="93"/>
  <c r="D16" i="93"/>
  <c r="A15" i="93"/>
  <c r="A16" i="93" s="1"/>
  <c r="A17" i="93" s="1"/>
  <c r="A14" i="93"/>
  <c r="D12" i="93"/>
  <c r="D10" i="93"/>
  <c r="D82" i="92"/>
  <c r="F81" i="92"/>
  <c r="F83" i="92" s="1"/>
  <c r="D75" i="92"/>
  <c r="D58" i="92"/>
  <c r="D54" i="92"/>
  <c r="D49" i="92"/>
  <c r="D38" i="92"/>
  <c r="D36" i="92"/>
  <c r="D35" i="92"/>
  <c r="D34" i="92"/>
  <c r="D33" i="92"/>
  <c r="D25" i="92"/>
  <c r="D24" i="92"/>
  <c r="D26" i="92" s="1"/>
  <c r="D18" i="92"/>
  <c r="D21" i="92" s="1"/>
  <c r="D23" i="92" s="1"/>
  <c r="D17" i="92"/>
  <c r="D16" i="92"/>
  <c r="D15" i="92"/>
  <c r="D14" i="92"/>
  <c r="D13" i="91"/>
  <c r="D12" i="91"/>
  <c r="D11" i="91"/>
  <c r="D10" i="91"/>
  <c r="D14" i="91" s="1"/>
  <c r="D8" i="81" s="1"/>
  <c r="D9" i="91"/>
  <c r="D8" i="91"/>
  <c r="D7" i="91"/>
  <c r="D6" i="91"/>
  <c r="F19" i="90"/>
  <c r="F21" i="89"/>
  <c r="D12" i="82" s="1"/>
  <c r="A20" i="89"/>
  <c r="F27" i="88"/>
  <c r="A14" i="88"/>
  <c r="A15" i="88" s="1"/>
  <c r="A16" i="88" s="1"/>
  <c r="A17" i="88" s="1"/>
  <c r="A18" i="88" s="1"/>
  <c r="A19" i="88" s="1"/>
  <c r="A20" i="88" s="1"/>
  <c r="A21" i="88" s="1"/>
  <c r="A22" i="88" s="1"/>
  <c r="A23" i="88" s="1"/>
  <c r="A24" i="88" s="1"/>
  <c r="A25" i="88" s="1"/>
  <c r="A26" i="88" s="1"/>
  <c r="A12" i="88"/>
  <c r="A13" i="88" s="1"/>
  <c r="A11" i="88"/>
  <c r="F113" i="87"/>
  <c r="A18" i="87"/>
  <c r="A19" i="87" s="1"/>
  <c r="A20" i="87" s="1"/>
  <c r="A21" i="87" s="1"/>
  <c r="A22" i="87" s="1"/>
  <c r="A23" i="87" s="1"/>
  <c r="A24" i="87" s="1"/>
  <c r="A25" i="87" s="1"/>
  <c r="A26" i="87" s="1"/>
  <c r="A27" i="87" s="1"/>
  <c r="A28" i="87" s="1"/>
  <c r="A29" i="87" s="1"/>
  <c r="A30" i="87" s="1"/>
  <c r="A31" i="87" s="1"/>
  <c r="A32" i="87" s="1"/>
  <c r="A33" i="87" s="1"/>
  <c r="A34" i="87" s="1"/>
  <c r="A35" i="87" s="1"/>
  <c r="A36" i="87" s="1"/>
  <c r="A37" i="87" s="1"/>
  <c r="A38" i="87" s="1"/>
  <c r="A39" i="87" s="1"/>
  <c r="A40" i="87" s="1"/>
  <c r="A41" i="87" s="1"/>
  <c r="A42" i="87" s="1"/>
  <c r="A43" i="87" s="1"/>
  <c r="A44" i="87" s="1"/>
  <c r="A45" i="87" s="1"/>
  <c r="A46" i="87" s="1"/>
  <c r="A47" i="87" s="1"/>
  <c r="A48" i="87" s="1"/>
  <c r="A49" i="87" s="1"/>
  <c r="A50" i="87" s="1"/>
  <c r="A51" i="87" s="1"/>
  <c r="A52" i="87" s="1"/>
  <c r="A53" i="87" s="1"/>
  <c r="A54" i="87" s="1"/>
  <c r="A55" i="87" s="1"/>
  <c r="A56" i="87" s="1"/>
  <c r="A57" i="87" s="1"/>
  <c r="A58" i="87" s="1"/>
  <c r="A59" i="87" s="1"/>
  <c r="A60" i="87" s="1"/>
  <c r="A61" i="87" s="1"/>
  <c r="A62" i="87" s="1"/>
  <c r="A63" i="87" s="1"/>
  <c r="A64" i="87" s="1"/>
  <c r="A65" i="87" s="1"/>
  <c r="A66" i="87" s="1"/>
  <c r="A67" i="87" s="1"/>
  <c r="A68" i="87" s="1"/>
  <c r="A69" i="87" s="1"/>
  <c r="A70" i="87" s="1"/>
  <c r="A71" i="87" s="1"/>
  <c r="A72" i="87" s="1"/>
  <c r="A73" i="87" s="1"/>
  <c r="A74" i="87" s="1"/>
  <c r="A75" i="87" s="1"/>
  <c r="A76" i="87" s="1"/>
  <c r="A77" i="87" s="1"/>
  <c r="A78" i="87" s="1"/>
  <c r="A79" i="87" s="1"/>
  <c r="A80" i="87" s="1"/>
  <c r="A81" i="87" s="1"/>
  <c r="A82" i="87" s="1"/>
  <c r="A83" i="87" s="1"/>
  <c r="A84" i="87" s="1"/>
  <c r="A85" i="87" s="1"/>
  <c r="A86" i="87" s="1"/>
  <c r="A87" i="87" s="1"/>
  <c r="A88" i="87" s="1"/>
  <c r="A89" i="87" s="1"/>
  <c r="A90" i="87" s="1"/>
  <c r="A91" i="87" s="1"/>
  <c r="A92" i="87" s="1"/>
  <c r="A93" i="87" s="1"/>
  <c r="A94" i="87" s="1"/>
  <c r="A95" i="87" s="1"/>
  <c r="A96" i="87" s="1"/>
  <c r="A97" i="87" s="1"/>
  <c r="A98" i="87" s="1"/>
  <c r="A99" i="87" s="1"/>
  <c r="A100" i="87" s="1"/>
  <c r="A101" i="87" s="1"/>
  <c r="A102" i="87" s="1"/>
  <c r="A103" i="87" s="1"/>
  <c r="A104" i="87" s="1"/>
  <c r="A105" i="87" s="1"/>
  <c r="A106" i="87" s="1"/>
  <c r="A107" i="87" s="1"/>
  <c r="A108" i="87" s="1"/>
  <c r="A109" i="87" s="1"/>
  <c r="A110" i="87" s="1"/>
  <c r="A111" i="87" s="1"/>
  <c r="A112" i="87" s="1"/>
  <c r="A14" i="87"/>
  <c r="A15" i="87" s="1"/>
  <c r="A16" i="87" s="1"/>
  <c r="A17" i="87" s="1"/>
  <c r="A12" i="87"/>
  <c r="A13" i="87" s="1"/>
  <c r="A11" i="87"/>
  <c r="F25" i="86"/>
  <c r="F16" i="85"/>
  <c r="F17" i="84"/>
  <c r="D16" i="84"/>
  <c r="D15" i="84"/>
  <c r="A14" i="84"/>
  <c r="A15" i="84" s="1"/>
  <c r="A16" i="84" s="1"/>
  <c r="A13" i="84"/>
  <c r="D11" i="84"/>
  <c r="D9" i="84"/>
  <c r="F116" i="83"/>
  <c r="F118" i="83" s="1"/>
  <c r="D6" i="82" s="1"/>
  <c r="D14" i="82" s="1"/>
  <c r="D7" i="81" s="1"/>
  <c r="D112" i="83"/>
  <c r="D106" i="83"/>
  <c r="D103" i="83"/>
  <c r="D101" i="83"/>
  <c r="D100" i="83"/>
  <c r="D97" i="83"/>
  <c r="D95" i="83"/>
  <c r="D96" i="83" s="1"/>
  <c r="D94" i="83"/>
  <c r="D89" i="83"/>
  <c r="D87" i="83"/>
  <c r="D83" i="83"/>
  <c r="D79" i="83"/>
  <c r="D78" i="83"/>
  <c r="D76" i="83"/>
  <c r="D75" i="83"/>
  <c r="D73" i="83"/>
  <c r="D71" i="83"/>
  <c r="D65" i="83"/>
  <c r="D64" i="83"/>
  <c r="D58" i="83"/>
  <c r="D54" i="83"/>
  <c r="D53" i="83"/>
  <c r="D46" i="83"/>
  <c r="D44" i="83"/>
  <c r="D41" i="83"/>
  <c r="D40" i="83"/>
  <c r="D42" i="83" s="1"/>
  <c r="D38" i="83"/>
  <c r="D30" i="83"/>
  <c r="D29" i="83"/>
  <c r="D28" i="83"/>
  <c r="D27" i="83"/>
  <c r="D20" i="83"/>
  <c r="D19" i="83"/>
  <c r="D18" i="83"/>
  <c r="D15" i="83"/>
  <c r="D14" i="83"/>
  <c r="D13" i="83"/>
  <c r="A1" i="83"/>
  <c r="A1" i="84" s="1"/>
  <c r="A1" i="85" s="1"/>
  <c r="A1" i="86" s="1"/>
  <c r="A1" i="87" s="1"/>
  <c r="A1" i="88" s="1"/>
  <c r="A1" i="89" s="1"/>
  <c r="A1" i="90" s="1"/>
  <c r="A1" i="91" s="1"/>
  <c r="A1" i="92" s="1"/>
  <c r="A1" i="93" s="1"/>
  <c r="A1" i="94" s="1"/>
  <c r="A1" i="95" s="1"/>
  <c r="A1" i="96" s="1"/>
  <c r="A1" i="97" s="1"/>
  <c r="A1" i="98" s="1"/>
  <c r="A1" i="99" s="1"/>
  <c r="A1" i="100" s="1"/>
  <c r="A1" i="101" s="1"/>
  <c r="A1" i="102" s="1"/>
  <c r="A1" i="103" s="1"/>
  <c r="A1" i="104" s="1"/>
  <c r="A1" i="105" s="1"/>
  <c r="A1" i="106" s="1"/>
  <c r="A1" i="107" s="1"/>
  <c r="A1" i="108" s="1"/>
  <c r="A1" i="109" s="1"/>
  <c r="A1" i="110" s="1"/>
  <c r="A1" i="111" s="1"/>
  <c r="A1" i="112" s="1"/>
  <c r="A1" i="113" s="1"/>
  <c r="A1" i="114" s="1"/>
  <c r="A1" i="115" s="1"/>
  <c r="A1" i="116" s="1"/>
  <c r="A1" i="117" s="1"/>
  <c r="A1" i="118" s="1"/>
  <c r="A1" i="119" s="1"/>
  <c r="A1" i="120" s="1"/>
  <c r="A1" i="121" s="1"/>
  <c r="A1" i="122" s="1"/>
  <c r="A1" i="123" s="1"/>
  <c r="A1" i="124" s="1"/>
  <c r="A1" i="125" s="1"/>
  <c r="A1" i="126" s="1"/>
  <c r="A1" i="127" s="1"/>
  <c r="A1" i="128" s="1"/>
  <c r="A1" i="129" s="1"/>
  <c r="A1" i="130" s="1"/>
  <c r="A1" i="131" s="1"/>
  <c r="A1" i="132" s="1"/>
  <c r="A1" i="133" s="1"/>
  <c r="A1" i="134" s="1"/>
  <c r="A1" i="135" s="1"/>
  <c r="A1" i="136" s="1"/>
  <c r="A1" i="137" s="1"/>
  <c r="A1" i="138" s="1"/>
  <c r="A1" i="139" s="1"/>
  <c r="A1" i="140" s="1"/>
  <c r="A1" i="141" s="1"/>
  <c r="A1" i="142" s="1"/>
  <c r="A1" i="143" s="1"/>
  <c r="D13" i="82"/>
  <c r="D11" i="82"/>
  <c r="D10" i="82"/>
  <c r="D9" i="82"/>
  <c r="D8" i="82"/>
  <c r="D7" i="82"/>
  <c r="A1" i="82"/>
  <c r="D11" i="81"/>
  <c r="G45" i="80"/>
  <c r="E43" i="80"/>
  <c r="G41" i="80"/>
  <c r="E40" i="80"/>
  <c r="E39" i="80"/>
  <c r="E38" i="80"/>
  <c r="E37" i="80"/>
  <c r="E32" i="80"/>
  <c r="E31" i="80"/>
  <c r="E30" i="80"/>
  <c r="E29" i="80"/>
  <c r="E28" i="80"/>
  <c r="E24" i="80"/>
  <c r="E23" i="80"/>
  <c r="E22" i="80"/>
  <c r="E21" i="80"/>
  <c r="E20" i="80"/>
  <c r="A20" i="80"/>
  <c r="A21" i="80" s="1"/>
  <c r="A22" i="80" s="1"/>
  <c r="A23" i="80" s="1"/>
  <c r="A24" i="80" s="1"/>
  <c r="A25" i="80" s="1"/>
  <c r="A26" i="80" s="1"/>
  <c r="A27" i="80" s="1"/>
  <c r="A28" i="80" s="1"/>
  <c r="A29" i="80" s="1"/>
  <c r="A30" i="80" s="1"/>
  <c r="A31" i="80" s="1"/>
  <c r="A32" i="80" s="1"/>
  <c r="E19" i="80"/>
  <c r="E18" i="80"/>
  <c r="A18" i="80"/>
  <c r="A19" i="80" s="1"/>
  <c r="E17" i="80"/>
  <c r="E16" i="80"/>
  <c r="E15" i="80"/>
  <c r="E14" i="80"/>
  <c r="A14" i="80"/>
  <c r="A15" i="80" s="1"/>
  <c r="A16" i="80" s="1"/>
  <c r="E13" i="80"/>
  <c r="G11" i="80"/>
  <c r="E10" i="80"/>
  <c r="E9" i="80"/>
  <c r="E8" i="80"/>
  <c r="E7" i="80"/>
  <c r="D9" i="79"/>
  <c r="D8" i="79"/>
  <c r="D10" i="79" s="1"/>
  <c r="D8" i="78" s="1"/>
  <c r="D7" i="79"/>
  <c r="A37" i="80" l="1"/>
  <c r="A38" i="80" s="1"/>
  <c r="A39" i="80" s="1"/>
  <c r="A40" i="80" s="1"/>
  <c r="A33" i="80"/>
  <c r="A34" i="80" s="1"/>
  <c r="A35" i="80" s="1"/>
  <c r="A36" i="80" s="1"/>
  <c r="D14" i="135"/>
  <c r="D13" i="81" s="1"/>
  <c r="D14" i="81" s="1"/>
  <c r="D7" i="78" s="1"/>
  <c r="D9" i="78" s="1"/>
  <c r="D14" i="126"/>
  <c r="D12" i="81" s="1"/>
  <c r="D74" i="119"/>
  <c r="D10" i="78" l="1"/>
  <c r="D11" i="78"/>
  <c r="D12" i="78" l="1"/>
  <c r="D13" i="78" s="1"/>
  <c r="D20" i="74" l="1"/>
  <c r="D20" i="73"/>
  <c r="D20" i="72"/>
  <c r="D20" i="71"/>
  <c r="D20" i="70"/>
  <c r="D20" i="69"/>
  <c r="D20" i="68"/>
  <c r="D20" i="67"/>
  <c r="D20" i="66"/>
  <c r="D20" i="65"/>
  <c r="D20" i="64"/>
  <c r="D20" i="63"/>
  <c r="D20" i="62"/>
  <c r="D20" i="61"/>
  <c r="D20" i="60"/>
  <c r="D20" i="59"/>
  <c r="D20" i="56"/>
  <c r="D20" i="58"/>
  <c r="D20" i="55"/>
  <c r="D20" i="54"/>
  <c r="D20" i="53"/>
  <c r="D20" i="52"/>
  <c r="D20" i="51"/>
  <c r="D20" i="50"/>
  <c r="D20" i="49"/>
  <c r="D20" i="48"/>
  <c r="D20" i="47"/>
  <c r="D20" i="46"/>
  <c r="D20" i="45"/>
  <c r="D20" i="44"/>
  <c r="D20" i="43"/>
  <c r="D20" i="42"/>
  <c r="D20" i="41"/>
  <c r="D20" i="40"/>
  <c r="D20" i="39"/>
  <c r="D20" i="38"/>
  <c r="D20" i="37"/>
  <c r="D20" i="36"/>
  <c r="D20" i="35"/>
  <c r="D20" i="34"/>
  <c r="D20" i="33"/>
  <c r="D20" i="32"/>
  <c r="D20" i="31"/>
  <c r="D20" i="30"/>
  <c r="D20" i="29"/>
  <c r="D20" i="28"/>
  <c r="D20" i="27"/>
  <c r="D20" i="26"/>
  <c r="D20" i="25"/>
  <c r="D20" i="24"/>
  <c r="D20" i="23"/>
  <c r="D20" i="22"/>
  <c r="D20" i="21"/>
  <c r="D20" i="20"/>
  <c r="D20" i="19"/>
  <c r="D20" i="18"/>
  <c r="D20" i="17"/>
  <c r="D20" i="16"/>
  <c r="D20" i="15"/>
  <c r="D20" i="14"/>
  <c r="D20" i="13"/>
  <c r="D20" i="12"/>
  <c r="G21" i="76" l="1"/>
  <c r="D7" i="77" s="1"/>
  <c r="G31" i="76"/>
  <c r="D8" i="77" s="1"/>
  <c r="G12" i="76"/>
  <c r="D6" i="77" s="1"/>
  <c r="F22" i="75"/>
  <c r="D24" i="7" s="1"/>
  <c r="D22" i="74"/>
  <c r="D17" i="74"/>
  <c r="D18" i="74" s="1"/>
  <c r="D14" i="74"/>
  <c r="D13" i="74"/>
  <c r="D10" i="74"/>
  <c r="D7" i="74"/>
  <c r="D22" i="73"/>
  <c r="D17" i="73"/>
  <c r="D18" i="73" s="1"/>
  <c r="D14" i="73"/>
  <c r="D13" i="73"/>
  <c r="D10" i="73"/>
  <c r="D7" i="73"/>
  <c r="D22" i="72"/>
  <c r="D17" i="72"/>
  <c r="D18" i="72" s="1"/>
  <c r="D14" i="72"/>
  <c r="D13" i="72"/>
  <c r="D10" i="72"/>
  <c r="D7" i="72"/>
  <c r="D22" i="71"/>
  <c r="D17" i="71"/>
  <c r="D18" i="71" s="1"/>
  <c r="D14" i="71"/>
  <c r="D13" i="71"/>
  <c r="D10" i="71"/>
  <c r="D7" i="71"/>
  <c r="D22" i="70"/>
  <c r="D18" i="70"/>
  <c r="D17" i="70"/>
  <c r="D14" i="70"/>
  <c r="D13" i="70"/>
  <c r="D10" i="70"/>
  <c r="D22" i="69"/>
  <c r="D17" i="69"/>
  <c r="D18" i="69" s="1"/>
  <c r="D14" i="69"/>
  <c r="D13" i="69"/>
  <c r="D10" i="69"/>
  <c r="D7" i="69"/>
  <c r="D22" i="68"/>
  <c r="D17" i="68"/>
  <c r="D18" i="68" s="1"/>
  <c r="D14" i="68"/>
  <c r="D13" i="68"/>
  <c r="D10" i="68"/>
  <c r="D7" i="68"/>
  <c r="D22" i="67"/>
  <c r="D17" i="67"/>
  <c r="D18" i="67" s="1"/>
  <c r="D14" i="67"/>
  <c r="D13" i="67"/>
  <c r="D10" i="67"/>
  <c r="D7" i="67"/>
  <c r="D22" i="66"/>
  <c r="D17" i="66"/>
  <c r="D14" i="66"/>
  <c r="D13" i="66"/>
  <c r="D10" i="66"/>
  <c r="D7" i="66"/>
  <c r="D7" i="65"/>
  <c r="D22" i="65"/>
  <c r="D17" i="65"/>
  <c r="D18" i="65" s="1"/>
  <c r="D14" i="65"/>
  <c r="D13" i="65"/>
  <c r="D10" i="65"/>
  <c r="D22" i="64"/>
  <c r="D17" i="64"/>
  <c r="D18" i="64" s="1"/>
  <c r="D14" i="64"/>
  <c r="D13" i="64"/>
  <c r="D10" i="64"/>
  <c r="D7" i="64"/>
  <c r="D22" i="63"/>
  <c r="D17" i="63"/>
  <c r="D18" i="63" s="1"/>
  <c r="D14" i="63"/>
  <c r="D13" i="63"/>
  <c r="D10" i="63"/>
  <c r="D7" i="62"/>
  <c r="D22" i="62"/>
  <c r="D17" i="62"/>
  <c r="D18" i="62" s="1"/>
  <c r="D14" i="62"/>
  <c r="D13" i="62"/>
  <c r="D10" i="62"/>
  <c r="D22" i="61"/>
  <c r="D17" i="61"/>
  <c r="D18" i="61" s="1"/>
  <c r="D14" i="61"/>
  <c r="D13" i="61"/>
  <c r="D10" i="61"/>
  <c r="D22" i="60"/>
  <c r="D17" i="60"/>
  <c r="D18" i="60" s="1"/>
  <c r="D14" i="60"/>
  <c r="D13" i="60"/>
  <c r="D10" i="60"/>
  <c r="D7" i="60"/>
  <c r="D22" i="59"/>
  <c r="D17" i="59"/>
  <c r="D18" i="59" s="1"/>
  <c r="D14" i="59"/>
  <c r="D13" i="59"/>
  <c r="D10" i="59"/>
  <c r="D7" i="59"/>
  <c r="D18" i="66" l="1"/>
  <c r="F23" i="74"/>
  <c r="D23" i="7" s="1"/>
  <c r="F23" i="73"/>
  <c r="D22" i="7" s="1"/>
  <c r="F23" i="72"/>
  <c r="D21" i="7" s="1"/>
  <c r="F23" i="71"/>
  <c r="D20" i="7" s="1"/>
  <c r="F23" i="68"/>
  <c r="D17" i="7" s="1"/>
  <c r="F23" i="67"/>
  <c r="D16" i="7" s="1"/>
  <c r="F23" i="66"/>
  <c r="D15" i="7" s="1"/>
  <c r="F23" i="65"/>
  <c r="D14" i="7" s="1"/>
  <c r="F23" i="61"/>
  <c r="D10" i="7" s="1"/>
  <c r="F23" i="60"/>
  <c r="D9" i="7" s="1"/>
  <c r="F23" i="59"/>
  <c r="D8" i="7" s="1"/>
  <c r="F23" i="70"/>
  <c r="D19" i="7" s="1"/>
  <c r="F23" i="69"/>
  <c r="D18" i="7" s="1"/>
  <c r="F23" i="64"/>
  <c r="D13" i="7" s="1"/>
  <c r="F23" i="63"/>
  <c r="D12" i="7" s="1"/>
  <c r="F23" i="62"/>
  <c r="D11" i="7" s="1"/>
  <c r="D13" i="27" l="1"/>
  <c r="D13" i="26"/>
  <c r="D13" i="24"/>
  <c r="D13" i="22"/>
  <c r="D13" i="21"/>
  <c r="D13" i="19"/>
  <c r="D13" i="18"/>
  <c r="D13" i="16"/>
  <c r="D13" i="15"/>
  <c r="F22" i="57" l="1"/>
  <c r="D37" i="6" s="1"/>
  <c r="D22" i="56"/>
  <c r="D17" i="56"/>
  <c r="D14" i="56"/>
  <c r="D13" i="56"/>
  <c r="D10" i="56"/>
  <c r="D7" i="56"/>
  <c r="D22" i="58"/>
  <c r="D17" i="58"/>
  <c r="D18" i="58" s="1"/>
  <c r="D14" i="58"/>
  <c r="D13" i="58"/>
  <c r="D10" i="58"/>
  <c r="D7" i="58"/>
  <c r="D22" i="55"/>
  <c r="D17" i="55"/>
  <c r="D18" i="55" s="1"/>
  <c r="D14" i="55"/>
  <c r="D13" i="55"/>
  <c r="D10" i="55"/>
  <c r="D7" i="55"/>
  <c r="D22" i="54"/>
  <c r="D17" i="54"/>
  <c r="D18" i="54" s="1"/>
  <c r="D14" i="54"/>
  <c r="D13" i="54"/>
  <c r="D10" i="54"/>
  <c r="D7" i="54"/>
  <c r="D22" i="53"/>
  <c r="D17" i="53"/>
  <c r="D18" i="53" s="1"/>
  <c r="D14" i="53"/>
  <c r="D13" i="53"/>
  <c r="D10" i="53"/>
  <c r="D7" i="53"/>
  <c r="D22" i="52"/>
  <c r="D17" i="52"/>
  <c r="D18" i="52" s="1"/>
  <c r="D14" i="52"/>
  <c r="D13" i="52"/>
  <c r="D10" i="52"/>
  <c r="D7" i="52"/>
  <c r="D22" i="51"/>
  <c r="D17" i="51"/>
  <c r="D14" i="51"/>
  <c r="D13" i="51"/>
  <c r="D10" i="51"/>
  <c r="D7" i="51"/>
  <c r="D22" i="50"/>
  <c r="D17" i="50"/>
  <c r="D18" i="50" s="1"/>
  <c r="D14" i="50"/>
  <c r="D13" i="50"/>
  <c r="D10" i="50"/>
  <c r="D7" i="50"/>
  <c r="D22" i="49"/>
  <c r="D17" i="49"/>
  <c r="D18" i="49" s="1"/>
  <c r="D14" i="49"/>
  <c r="D13" i="49"/>
  <c r="D10" i="49"/>
  <c r="D7" i="49"/>
  <c r="D22" i="48"/>
  <c r="D17" i="48"/>
  <c r="D14" i="48"/>
  <c r="D13" i="48"/>
  <c r="D10" i="48"/>
  <c r="D7" i="48"/>
  <c r="D22" i="47"/>
  <c r="D17" i="47"/>
  <c r="D18" i="47" s="1"/>
  <c r="D14" i="47"/>
  <c r="D13" i="47"/>
  <c r="D10" i="47"/>
  <c r="D7" i="47"/>
  <c r="D22" i="46"/>
  <c r="D17" i="46"/>
  <c r="D18" i="46" s="1"/>
  <c r="D14" i="46"/>
  <c r="D13" i="46"/>
  <c r="D10" i="46"/>
  <c r="D7" i="46"/>
  <c r="D22" i="45"/>
  <c r="D17" i="45"/>
  <c r="D18" i="45" s="1"/>
  <c r="D14" i="45"/>
  <c r="D13" i="45"/>
  <c r="D10" i="45"/>
  <c r="D7" i="45"/>
  <c r="D22" i="44"/>
  <c r="D18" i="44"/>
  <c r="D17" i="44"/>
  <c r="D14" i="44"/>
  <c r="D13" i="44"/>
  <c r="D10" i="44"/>
  <c r="D7" i="44"/>
  <c r="D22" i="43"/>
  <c r="D17" i="43"/>
  <c r="D18" i="43" s="1"/>
  <c r="D14" i="43"/>
  <c r="D13" i="43"/>
  <c r="D10" i="43"/>
  <c r="D7" i="43"/>
  <c r="D22" i="42"/>
  <c r="D17" i="42"/>
  <c r="D18" i="42" s="1"/>
  <c r="D14" i="42"/>
  <c r="D13" i="42"/>
  <c r="D10" i="42"/>
  <c r="D7" i="42"/>
  <c r="D22" i="41"/>
  <c r="D17" i="41"/>
  <c r="D18" i="41" s="1"/>
  <c r="D14" i="41"/>
  <c r="D13" i="41"/>
  <c r="D10" i="41"/>
  <c r="D7" i="41"/>
  <c r="D22" i="40"/>
  <c r="D17" i="40"/>
  <c r="D18" i="40" s="1"/>
  <c r="D14" i="40"/>
  <c r="D13" i="40"/>
  <c r="D10" i="40"/>
  <c r="D7" i="40"/>
  <c r="D22" i="39"/>
  <c r="D17" i="39"/>
  <c r="D18" i="39" s="1"/>
  <c r="D14" i="39"/>
  <c r="D13" i="39"/>
  <c r="D10" i="39"/>
  <c r="D7" i="39"/>
  <c r="D22" i="38"/>
  <c r="D17" i="38"/>
  <c r="D18" i="38" s="1"/>
  <c r="D14" i="38"/>
  <c r="D13" i="38"/>
  <c r="D10" i="38"/>
  <c r="D7" i="38"/>
  <c r="D22" i="37"/>
  <c r="D17" i="37"/>
  <c r="D18" i="37" s="1"/>
  <c r="D14" i="37"/>
  <c r="D13" i="37"/>
  <c r="D10" i="37"/>
  <c r="D7" i="37"/>
  <c r="D22" i="36"/>
  <c r="D17" i="36"/>
  <c r="D18" i="36" s="1"/>
  <c r="D14" i="36"/>
  <c r="D13" i="36"/>
  <c r="D10" i="36"/>
  <c r="D7" i="36"/>
  <c r="D22" i="35"/>
  <c r="D17" i="35"/>
  <c r="D18" i="35" s="1"/>
  <c r="D14" i="35"/>
  <c r="D13" i="35"/>
  <c r="D10" i="35"/>
  <c r="D7" i="35"/>
  <c r="D22" i="34"/>
  <c r="D17" i="34"/>
  <c r="D18" i="34" s="1"/>
  <c r="D14" i="34"/>
  <c r="D13" i="34"/>
  <c r="D10" i="34"/>
  <c r="D7" i="34"/>
  <c r="D7" i="33"/>
  <c r="D22" i="33"/>
  <c r="D17" i="33"/>
  <c r="D14" i="33"/>
  <c r="D13" i="33"/>
  <c r="D10" i="33"/>
  <c r="D22" i="32"/>
  <c r="D17" i="32"/>
  <c r="D18" i="32" s="1"/>
  <c r="D14" i="32"/>
  <c r="D13" i="32"/>
  <c r="D10" i="32"/>
  <c r="D7" i="32"/>
  <c r="D14" i="31"/>
  <c r="D22" i="31"/>
  <c r="D17" i="31"/>
  <c r="D18" i="31" s="1"/>
  <c r="D13" i="31"/>
  <c r="D10" i="31"/>
  <c r="D14" i="30"/>
  <c r="D22" i="30"/>
  <c r="D17" i="30"/>
  <c r="D18" i="30" s="1"/>
  <c r="D13" i="30"/>
  <c r="D10" i="30"/>
  <c r="D7" i="30"/>
  <c r="D14" i="29"/>
  <c r="D22" i="29"/>
  <c r="D17" i="29"/>
  <c r="D18" i="29" s="1"/>
  <c r="D13" i="29"/>
  <c r="D10" i="29"/>
  <c r="D7" i="29"/>
  <c r="D22" i="28"/>
  <c r="D17" i="28"/>
  <c r="D18" i="28" s="1"/>
  <c r="D14" i="28"/>
  <c r="D13" i="28"/>
  <c r="D10" i="28"/>
  <c r="D7" i="28"/>
  <c r="D22" i="27"/>
  <c r="D17" i="27"/>
  <c r="D18" i="27" s="1"/>
  <c r="D14" i="27"/>
  <c r="D10" i="27"/>
  <c r="D7" i="27"/>
  <c r="D22" i="26"/>
  <c r="D17" i="26"/>
  <c r="D18" i="26" s="1"/>
  <c r="D14" i="26"/>
  <c r="D10" i="26"/>
  <c r="D7" i="26"/>
  <c r="D22" i="25"/>
  <c r="D17" i="25"/>
  <c r="D18" i="25" s="1"/>
  <c r="D14" i="25"/>
  <c r="D13" i="25"/>
  <c r="D10" i="25"/>
  <c r="D7" i="25"/>
  <c r="D22" i="24"/>
  <c r="D17" i="24"/>
  <c r="D14" i="24"/>
  <c r="D10" i="24"/>
  <c r="D7" i="24"/>
  <c r="D22" i="23"/>
  <c r="D17" i="23"/>
  <c r="D18" i="23" s="1"/>
  <c r="D14" i="23"/>
  <c r="D13" i="23"/>
  <c r="D10" i="23"/>
  <c r="D7" i="23"/>
  <c r="D22" i="22"/>
  <c r="D17" i="22"/>
  <c r="D18" i="22" s="1"/>
  <c r="D14" i="22"/>
  <c r="D10" i="22"/>
  <c r="D7" i="22"/>
  <c r="D22" i="21"/>
  <c r="D17" i="21"/>
  <c r="D14" i="21"/>
  <c r="D10" i="21"/>
  <c r="D7" i="21"/>
  <c r="D22" i="20"/>
  <c r="D17" i="20"/>
  <c r="D18" i="20" s="1"/>
  <c r="D14" i="20"/>
  <c r="D13" i="20"/>
  <c r="D10" i="20"/>
  <c r="D7" i="20"/>
  <c r="D22" i="19"/>
  <c r="D17" i="19"/>
  <c r="D18" i="19" s="1"/>
  <c r="D14" i="19"/>
  <c r="D10" i="19"/>
  <c r="D7" i="19"/>
  <c r="D22" i="18"/>
  <c r="D17" i="18"/>
  <c r="D18" i="18" s="1"/>
  <c r="D14" i="18"/>
  <c r="D10" i="18"/>
  <c r="D7" i="18"/>
  <c r="D14" i="17"/>
  <c r="D22" i="17"/>
  <c r="D17" i="17"/>
  <c r="D18" i="17" s="1"/>
  <c r="D13" i="17"/>
  <c r="D10" i="17"/>
  <c r="D7" i="17"/>
  <c r="D22" i="16"/>
  <c r="D17" i="16"/>
  <c r="D18" i="16" s="1"/>
  <c r="D14" i="16"/>
  <c r="D10" i="16"/>
  <c r="D7" i="16"/>
  <c r="D22" i="15"/>
  <c r="D17" i="15"/>
  <c r="D18" i="15" s="1"/>
  <c r="D14" i="15"/>
  <c r="D10" i="15"/>
  <c r="D7" i="15"/>
  <c r="D14" i="14"/>
  <c r="D22" i="14"/>
  <c r="D17" i="14"/>
  <c r="D18" i="14" s="1"/>
  <c r="D13" i="14"/>
  <c r="D10" i="14"/>
  <c r="D7" i="14"/>
  <c r="D14" i="13"/>
  <c r="D22" i="13"/>
  <c r="D17" i="13"/>
  <c r="D18" i="13" s="1"/>
  <c r="D13" i="13"/>
  <c r="D10" i="13"/>
  <c r="D7" i="13"/>
  <c r="D13" i="12"/>
  <c r="D22" i="12"/>
  <c r="D19" i="11"/>
  <c r="D21" i="9"/>
  <c r="D19" i="5"/>
  <c r="D17" i="12"/>
  <c r="D18" i="12" s="1"/>
  <c r="D14" i="12"/>
  <c r="D10" i="12"/>
  <c r="D7" i="12"/>
  <c r="D18" i="33" l="1"/>
  <c r="D18" i="56"/>
  <c r="D18" i="51"/>
  <c r="F23" i="51" s="1"/>
  <c r="D30" i="6" s="1"/>
  <c r="F23" i="50"/>
  <c r="D29" i="6" s="1"/>
  <c r="D18" i="48"/>
  <c r="D18" i="24"/>
  <c r="F23" i="22"/>
  <c r="D18" i="3" s="1"/>
  <c r="F23" i="55"/>
  <c r="D34" i="6" s="1"/>
  <c r="F23" i="52"/>
  <c r="D31" i="6" s="1"/>
  <c r="F23" i="49"/>
  <c r="D28" i="6" s="1"/>
  <c r="F23" i="48"/>
  <c r="D27" i="6" s="1"/>
  <c r="F23" i="47"/>
  <c r="D26" i="6" s="1"/>
  <c r="F23" i="44"/>
  <c r="D23" i="6" s="1"/>
  <c r="F23" i="43"/>
  <c r="D22" i="6" s="1"/>
  <c r="F23" i="42"/>
  <c r="D21" i="6" s="1"/>
  <c r="F23" i="41"/>
  <c r="D20" i="6" s="1"/>
  <c r="F23" i="40"/>
  <c r="D19" i="6" s="1"/>
  <c r="F23" i="39"/>
  <c r="D18" i="6" s="1"/>
  <c r="F23" i="36"/>
  <c r="D15" i="6" s="1"/>
  <c r="F23" i="35"/>
  <c r="D14" i="6" s="1"/>
  <c r="F23" i="34"/>
  <c r="D13" i="6" s="1"/>
  <c r="F23" i="28"/>
  <c r="D24" i="3" s="1"/>
  <c r="F23" i="27"/>
  <c r="D23" i="3" s="1"/>
  <c r="F23" i="26"/>
  <c r="D22" i="3" s="1"/>
  <c r="F23" i="23"/>
  <c r="D19" i="3" s="1"/>
  <c r="D18" i="21"/>
  <c r="F23" i="21" s="1"/>
  <c r="D17" i="3" s="1"/>
  <c r="F23" i="20"/>
  <c r="D16" i="3" s="1"/>
  <c r="F23" i="19"/>
  <c r="D15" i="3" s="1"/>
  <c r="F23" i="18"/>
  <c r="D14" i="3" s="1"/>
  <c r="F23" i="16"/>
  <c r="D12" i="3" s="1"/>
  <c r="F23" i="58"/>
  <c r="D35" i="6" s="1"/>
  <c r="F23" i="56"/>
  <c r="D36" i="6" s="1"/>
  <c r="F23" i="54"/>
  <c r="D33" i="6" s="1"/>
  <c r="F23" i="53"/>
  <c r="D32" i="6" s="1"/>
  <c r="F23" i="46"/>
  <c r="D25" i="6" s="1"/>
  <c r="F23" i="45"/>
  <c r="D24" i="6" s="1"/>
  <c r="F23" i="38"/>
  <c r="D17" i="6" s="1"/>
  <c r="F23" i="37"/>
  <c r="D16" i="6" s="1"/>
  <c r="F23" i="33"/>
  <c r="D12" i="6" s="1"/>
  <c r="F23" i="32"/>
  <c r="D11" i="6" s="1"/>
  <c r="F23" i="31"/>
  <c r="D10" i="6" s="1"/>
  <c r="F23" i="30"/>
  <c r="D9" i="6" s="1"/>
  <c r="F23" i="29"/>
  <c r="D8" i="6" s="1"/>
  <c r="F23" i="25"/>
  <c r="D21" i="3" s="1"/>
  <c r="F23" i="24"/>
  <c r="D20" i="3" s="1"/>
  <c r="F23" i="17"/>
  <c r="D13" i="3" s="1"/>
  <c r="F23" i="15"/>
  <c r="D11" i="3" s="1"/>
  <c r="F23" i="14"/>
  <c r="D10" i="3" s="1"/>
  <c r="F23" i="13"/>
  <c r="D9" i="3" s="1"/>
  <c r="D16" i="5"/>
  <c r="D18" i="9"/>
  <c r="D14" i="9"/>
  <c r="D13" i="5"/>
  <c r="D7" i="5"/>
  <c r="D7" i="9"/>
  <c r="D10" i="9" s="1"/>
  <c r="D10" i="10"/>
  <c r="D9" i="10"/>
  <c r="D8" i="10"/>
  <c r="D13" i="11"/>
  <c r="D16" i="11" s="1"/>
  <c r="D7" i="11"/>
  <c r="D11" i="8"/>
  <c r="D9" i="8"/>
  <c r="D8" i="8"/>
  <c r="F23" i="12" l="1"/>
  <c r="D8" i="3" s="1"/>
  <c r="D9" i="11"/>
  <c r="F20" i="11" s="1"/>
  <c r="D7" i="7" s="1"/>
  <c r="D19" i="9"/>
  <c r="D17" i="5"/>
  <c r="D9" i="5"/>
  <c r="F20" i="5" s="1"/>
  <c r="D7" i="3" s="1"/>
  <c r="F22" i="9"/>
  <c r="D7" i="6" s="1"/>
  <c r="F11" i="10"/>
  <c r="D6" i="7" s="1"/>
  <c r="D17" i="11"/>
  <c r="F12" i="8"/>
  <c r="D6" i="6" s="1"/>
  <c r="D49" i="6" l="1"/>
  <c r="D6" i="2" s="1"/>
  <c r="D33" i="7"/>
  <c r="D7" i="2" s="1"/>
  <c r="D9" i="4"/>
  <c r="D10" i="4"/>
  <c r="D8" i="4"/>
  <c r="F11" i="4" l="1"/>
  <c r="D6" i="3" s="1"/>
  <c r="D34" i="3" s="1"/>
  <c r="D5" i="2" s="1"/>
  <c r="D8" i="2" s="1"/>
  <c r="D5" i="1" s="1"/>
  <c r="D10" i="1"/>
  <c r="C7" i="146"/>
  <c r="D8" i="1"/>
  <c r="D9" i="77"/>
  <c r="D6" i="1"/>
  <c r="D7" i="1"/>
  <c r="D9" i="1"/>
  <c r="D11" i="1"/>
  <c r="C5" i="146"/>
</calcChain>
</file>

<file path=xl/sharedStrings.xml><?xml version="1.0" encoding="utf-8"?>
<sst xmlns="http://schemas.openxmlformats.org/spreadsheetml/2006/main" count="8053" uniqueCount="1193">
  <si>
    <t>ქვეთავი</t>
  </si>
  <si>
    <t>N</t>
  </si>
  <si>
    <t>ობიექტის, სამუშაოების და ხარჯების დასახელება</t>
  </si>
  <si>
    <t>სახარჯთაღრიცხვო ღირებულება - ლარი</t>
  </si>
  <si>
    <t>მშენებლობის ღირებულების ნაკრები სახარჯთაღრიცხვო ანგარიში</t>
  </si>
  <si>
    <t>1</t>
  </si>
  <si>
    <t>B</t>
  </si>
  <si>
    <t>2</t>
  </si>
  <si>
    <t>D</t>
  </si>
  <si>
    <t>სამშენებლო სამუშაოები</t>
  </si>
  <si>
    <t>დღიური სამუშაოები</t>
  </si>
  <si>
    <t>სულ</t>
  </si>
  <si>
    <t>დღგ 18%</t>
  </si>
  <si>
    <t>მთლიანი ღირებულება</t>
  </si>
  <si>
    <t>ხარჯთაღ #1</t>
  </si>
  <si>
    <t>ობ-1</t>
  </si>
  <si>
    <t>ობ-2</t>
  </si>
  <si>
    <t>ობ-3</t>
  </si>
  <si>
    <t>სულ ჯამი</t>
  </si>
  <si>
    <t>1-1</t>
  </si>
  <si>
    <t>1-2</t>
  </si>
  <si>
    <t>1-3</t>
  </si>
  <si>
    <t>1-4</t>
  </si>
  <si>
    <t>1-6</t>
  </si>
  <si>
    <t>1-7</t>
  </si>
  <si>
    <t>მშენებლობის ღირებულების ჯამური სახარჯთაღრიცხვო ანგარიში</t>
  </si>
  <si>
    <t>ობიექტური საარჯთაღრიცხვო ღირებულება #1</t>
  </si>
  <si>
    <t>რიგითი ნომერი</t>
  </si>
  <si>
    <t>სამუშაოების და დანახარჯების ღირებულება</t>
  </si>
  <si>
    <t>საერთო სახარჯთაღღიცხვო ღირებულება</t>
  </si>
  <si>
    <t>1-5</t>
  </si>
  <si>
    <t>1-8</t>
  </si>
  <si>
    <t>1-9</t>
  </si>
  <si>
    <t>1-10</t>
  </si>
  <si>
    <t>1-11</t>
  </si>
  <si>
    <t>1-12</t>
  </si>
  <si>
    <t>1-13</t>
  </si>
  <si>
    <t>სამუშაოთა დასახელება</t>
  </si>
  <si>
    <t>განზომილება</t>
  </si>
  <si>
    <t>რაოდენობა</t>
  </si>
  <si>
    <t>ერთეულის ფასი</t>
  </si>
  <si>
    <t>ჯამი ლარში</t>
  </si>
  <si>
    <t>ლოკალური ხარჯთაღრიცხვა 1-1</t>
  </si>
  <si>
    <t>ბილიკის მოსაწყობი სამუშაოები</t>
  </si>
  <si>
    <t>ბილიკის მონიშვნა საღებავით ეროვნული რეგლამენტის შესაბამისად</t>
  </si>
  <si>
    <t>კმ</t>
  </si>
  <si>
    <t>კვ.მ</t>
  </si>
  <si>
    <t>კუბ.მ</t>
  </si>
  <si>
    <t>ყაზბეგის ეროვნული პარკი-არაგვის დაცული ლანდშაფტი</t>
  </si>
  <si>
    <t>ჯუთა-ომალოს დამაკავშირებელი ბილიკების ქსელი</t>
  </si>
  <si>
    <t>საინფორმაციო და მანიშნებელი დაფები</t>
  </si>
  <si>
    <t>ცალი</t>
  </si>
  <si>
    <t>კგ</t>
  </si>
  <si>
    <t>დაფა წარწერის გარეშე</t>
  </si>
  <si>
    <t>ხამუთი</t>
  </si>
  <si>
    <t>ჭანჭიკი ქანჩით</t>
  </si>
  <si>
    <t>გრუნტის დამუშავება მანიშნებელი დაფების დგარებისთვის</t>
  </si>
  <si>
    <t xml:space="preserve">მანიშნებელი დაფების  დგარების მონტაჟი- ქუდით(მოთუთიებული მილების  (დგარების)  H=3,0მ, d=60*3(მმ)) </t>
  </si>
  <si>
    <t>ბეტონის ბალიშის მოწყობა დგარების საძირკველში B-15</t>
  </si>
  <si>
    <t>ფშავ-ხევსურეთის ეროვნული პარკი</t>
  </si>
  <si>
    <t>თუშეთის დაცული ტერიტორიები/თუშეთის დაცული ლანდშაფტი</t>
  </si>
  <si>
    <t>ობიექტური საარჯთაღრიცხვო ღირებულება #2</t>
  </si>
  <si>
    <t>ობიექტური საარჯთაღრიცხვო ღირებულება #3</t>
  </si>
  <si>
    <t>3-1</t>
  </si>
  <si>
    <t>3-2</t>
  </si>
  <si>
    <t>3-3</t>
  </si>
  <si>
    <t>3-4</t>
  </si>
  <si>
    <t>3-5</t>
  </si>
  <si>
    <t>3-6</t>
  </si>
  <si>
    <t>3-7</t>
  </si>
  <si>
    <t>3-8</t>
  </si>
  <si>
    <t>3-9</t>
  </si>
  <si>
    <t>3-10</t>
  </si>
  <si>
    <t>3-11</t>
  </si>
  <si>
    <t>3-12</t>
  </si>
  <si>
    <t>3-13</t>
  </si>
  <si>
    <t>2-1</t>
  </si>
  <si>
    <t>2-2</t>
  </si>
  <si>
    <t>2-3</t>
  </si>
  <si>
    <t>2-4</t>
  </si>
  <si>
    <t>2-5</t>
  </si>
  <si>
    <t>2-6</t>
  </si>
  <si>
    <t>2-7</t>
  </si>
  <si>
    <t>2-8</t>
  </si>
  <si>
    <t>2-9</t>
  </si>
  <si>
    <t>2-10</t>
  </si>
  <si>
    <t>2-11</t>
  </si>
  <si>
    <t>2-12</t>
  </si>
  <si>
    <t>2-13</t>
  </si>
  <si>
    <t>ლოკალური ხარჯთაღრიცხვა 2-1</t>
  </si>
  <si>
    <t>ბილიკზე გრუნტის მოშანდაკება (44.2 კმ)</t>
  </si>
  <si>
    <t>გრუნტის დამუშავება (მოჭრა, დაყრა და ბილიკის ფორმის მიცემა, გრძივი და განივი ვაკისების მოწყობა) ბილიკის სიგანე 80 სმ. სისქე 0.33 საშუალოდ (44.2 კმ)</t>
  </si>
  <si>
    <t>ბილიკზე ბალახის კორდის მოხსნა, დასაწყობება, განფენა ბილიკის კიდეებზე  (საშუალოდ 0.36 სიგანის) (44.2 კმ)</t>
  </si>
  <si>
    <t>ბილიკზე ბალახის კორდის მოხსნა, დასაწყობება, განფენა ბილიკის კიდეებზე  (საშუალოდ 0.36 სიგანის) (54 კმ)</t>
  </si>
  <si>
    <t>გრუნტის დამუშავება (მოჭრა, დაყრა და ბილიკის ფორმის მიცემა, გრძივი და განივი ვაკისების მოწყობა) ბილიკის სიგანე 80 სმ. სისქე 0.33 საშუალოდ (54 კმ)</t>
  </si>
  <si>
    <t>ბილიკზე გრუნტის მოშანდაკება (54 კმ)</t>
  </si>
  <si>
    <t>ბილიკზე გრუნტის მოშანდაკება (29 კმ)</t>
  </si>
  <si>
    <t>გრუნტის დამუშავება (მოჭრა, დაყრა და ბილიკის ფორმის მიცემა, გრძივი და განივი ვაკისების მოწყობა) ბილიკის სიგანე 80 სმ. სისქე 0.33 საშუალოდ (29 კმ)</t>
  </si>
  <si>
    <t>ბილიკზე ბალახის კორდის მოხსნა, დასაწყობება, განფენა ბილიკის კიდეებზე  (საშუალოდ 0.36 სიგანის) (29 კმ)</t>
  </si>
  <si>
    <t xml:space="preserve">ნიშნულის დგარების მონტაჟი- ქუდით(მოთუთიებული მილების  (დგარების)  H=1.5მ, d=60*3(მმ)) </t>
  </si>
  <si>
    <t>ქვათაცვენის ნიშანი</t>
  </si>
  <si>
    <t>ერთწარწერიანი მანიშნებელი დაფა</t>
  </si>
  <si>
    <t xml:space="preserve">ორწარწერიანი მანიშნებელი  დაფა </t>
  </si>
  <si>
    <t>ლოგოიანი სტიკერი</t>
  </si>
  <si>
    <t xml:space="preserve">ადგილის ნიშანი </t>
  </si>
  <si>
    <t xml:space="preserve">წყლის ნიშანი </t>
  </si>
  <si>
    <t xml:space="preserve">ლოგოიანი სტიკერი </t>
  </si>
  <si>
    <t>ადგილის ნიშანი</t>
  </si>
  <si>
    <t xml:space="preserve">ერთწარწერიანი მანიშნებელი დაფა </t>
  </si>
  <si>
    <t>საინფორმაციო დაფის მოწყობა (ბანერით, ხის კონსტრუქციით, გადახურვით, მონტაჟით, საძირკვლით)</t>
  </si>
  <si>
    <t>საფეხმავლო ხიდი 16 მეტრიანი (GPS 67)</t>
  </si>
  <si>
    <t>ლოკალური ხარჯთაღრიცხვა 1-3</t>
  </si>
  <si>
    <t>გრუნტის დამუშავება გაბიონების მოსაწყობად (კლდე)</t>
  </si>
  <si>
    <t>გაბიონების მოწყობა ადგილობრივი ქვით</t>
  </si>
  <si>
    <t>რკინა-ბეტონის საძირკვლის მოწყობა  B-15  ბეტონით</t>
  </si>
  <si>
    <t>გრძ.მ</t>
  </si>
  <si>
    <t>არმატურა A500c დ-12</t>
  </si>
  <si>
    <t>ლითონის მასალების შესყიდვა</t>
  </si>
  <si>
    <t>ტონა</t>
  </si>
  <si>
    <t>გადაჭრა</t>
  </si>
  <si>
    <t>ლითონის მასალების დაჭრა პროექტის შესაბამისად (საამქროში)</t>
  </si>
  <si>
    <t>ლითონის მასალებზე ნახვრეტების მოწყობა დ-18 მმ  (საამქროში)</t>
  </si>
  <si>
    <t>ხიდის აწყობა, დანომვრა და დაშლა საამქორში და დასაწყოება ტრანსპორტირების მიზნით (საამქროში)</t>
  </si>
  <si>
    <t>ჭანჭიკების და ქანჩების შესყიდვა</t>
  </si>
  <si>
    <t>მასალების დატვირთვა მაღალი გამავლობის ავტომობილზე</t>
  </si>
  <si>
    <t>მასალების ტრანსპორტირება მაღალი გამავლობის ავტომობილით 150 კმ-ზე</t>
  </si>
  <si>
    <t>საინფორმაციო და მანიშნებელი დაფების ტრანსპორტირება მაღალი გამავლობის მანქანით ბილიკის დასაწყისამდე (საშ 150 კმ) და ხელით ან ვერტმფრენით გადატანა ბოძის განთავსების ადგილამდე (საშუალოდ 8 კმ)</t>
  </si>
  <si>
    <t>მასალების გადატანა ვერტმფრენით (საშუალოდ 4 რეისის გაკეთება)</t>
  </si>
  <si>
    <t>წთ</t>
  </si>
  <si>
    <t>ხიდის აწყობა სამონტაჟო ადგილას</t>
  </si>
  <si>
    <t>ლითონის ცხაურების დამზადება</t>
  </si>
  <si>
    <t>საფეხმავლო ხიდი 4 მეტრიანი (GPS 71)</t>
  </si>
  <si>
    <t>1-14</t>
  </si>
  <si>
    <t>1-15</t>
  </si>
  <si>
    <t>1-16</t>
  </si>
  <si>
    <t>1-17</t>
  </si>
  <si>
    <t>1-18</t>
  </si>
  <si>
    <t>1-19</t>
  </si>
  <si>
    <t>1-20</t>
  </si>
  <si>
    <t>1-21</t>
  </si>
  <si>
    <t>1-22</t>
  </si>
  <si>
    <t>1-23</t>
  </si>
  <si>
    <t>1-24</t>
  </si>
  <si>
    <t>1-25</t>
  </si>
  <si>
    <t>1-26</t>
  </si>
  <si>
    <t>1-27</t>
  </si>
  <si>
    <t>1-28</t>
  </si>
  <si>
    <t>ლოკალური ხარჯთაღრიცხვა 1-4</t>
  </si>
  <si>
    <t>ლოკალური ხარჯთაღრიცხვა 1-5</t>
  </si>
  <si>
    <t>საფეხმავლო ხიდი 8 მეტრიანი (GPS 74)</t>
  </si>
  <si>
    <t>მექანიკური ანკერი M24</t>
  </si>
  <si>
    <t>ლოკალური ხარჯთაღრიცხვა 1-6</t>
  </si>
  <si>
    <t>საფეხმავლო ხიდი 8 მეტრიანი (GPS 78)</t>
  </si>
  <si>
    <t>საფეხმავლო ხიდი 8 მეტრიანი (GPS 80)</t>
  </si>
  <si>
    <t>ლოკალური ხარჯთაღრიცხვა 1-7</t>
  </si>
  <si>
    <t>საფეხმავლო ხიდი 6 მეტრიანი (GPS 84)</t>
  </si>
  <si>
    <t>ლოკალური ხარჯთაღრიცხვა 1-8</t>
  </si>
  <si>
    <t>ლოკალური ხარჯთაღრიცხვა 1-9</t>
  </si>
  <si>
    <t>საფეხმავლო ხიდი 8 მეტრიანი (GPS 116)</t>
  </si>
  <si>
    <t>ლოკალური ხარჯთაღრიცხვა 1-10</t>
  </si>
  <si>
    <t>საფეხმავლო ხიდი 8 მეტრიანი (GPS 117)</t>
  </si>
  <si>
    <t>ლოკალური ხარჯთაღრიცხვა 1-11</t>
  </si>
  <si>
    <t>საფეხმავლო ხიდი 4 მეტრიანი (GPS 010T)</t>
  </si>
  <si>
    <t>ლოკალური ხარჯთაღრიცხვა 1-12</t>
  </si>
  <si>
    <t>საფეხმავლო ხიდი 4 მეტრიანი (GPS 011T)</t>
  </si>
  <si>
    <t>ლოკალური ხარჯთაღრიცხვა 1-13</t>
  </si>
  <si>
    <t>საფეხმავლო ხიდი 4 მეტრიანი (GPS 012T)</t>
  </si>
  <si>
    <t>ლოკალური ხარჯთაღრიცხვა 1-14</t>
  </si>
  <si>
    <t>საფეხმავლო ხიდი 16 მეტრიანი (GPS 6)</t>
  </si>
  <si>
    <t>ლოკალური ხარჯთაღრიცხვა 1-15</t>
  </si>
  <si>
    <t>საფეხმავლო ხიდი 16 მეტრიანი (GPS 11)</t>
  </si>
  <si>
    <t>ლოკალური ხარჯთაღრიცხვა 1-16</t>
  </si>
  <si>
    <t>საფეხმავლო ხიდი 8 მეტრიანი (GPS 13)</t>
  </si>
  <si>
    <t>ლოკალური ხარჯთაღრიცხვა 1-17</t>
  </si>
  <si>
    <t>საფეხმავლო ხიდი 8 მეტრიანი (GPS 20)</t>
  </si>
  <si>
    <t>ლოკალური ხარჯთაღრიცხვა 1-18</t>
  </si>
  <si>
    <t>საფეხმავლო ხიდი 8 მეტრიანი (GPS 32)</t>
  </si>
  <si>
    <t>ლოკალური ხარჯთაღრიცხვა 1-19</t>
  </si>
  <si>
    <t>საფეხმავლო ხიდი 16 მეტრიანი (GPS 56)</t>
  </si>
  <si>
    <t>ლოკალური ხარჯთაღრიცხვა 2-3</t>
  </si>
  <si>
    <t>საფეხმავლო ხიდი 10 მეტრიანი (GPS 339)</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</si>
  <si>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</si>
  <si>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</si>
  <si>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</si>
  <si>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</si>
  <si>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</si>
  <si>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</si>
  <si>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</si>
  <si>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</si>
  <si>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</si>
  <si>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</si>
  <si>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</si>
  <si>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</si>
  <si>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</si>
  <si>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</si>
  <si>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</si>
  <si>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</si>
  <si>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</si>
  <si>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</si>
  <si>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</si>
  <si>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</si>
  <si>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</si>
  <si>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</si>
  <si>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</si>
  <si>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</si>
  <si>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</si>
  <si>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</si>
  <si>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</si>
  <si>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</si>
  <si>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</si>
  <si>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</si>
  <si>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ლოკალური ხარჯთაღრიცხვა 2-4</t>
  </si>
  <si>
    <t>საფეხმავლო ხიდი 14 მეტრიანი (GPS 347)</t>
  </si>
  <si>
    <t>ლოკალური ხარჯთაღრიცხვა 2-5</t>
  </si>
  <si>
    <t>საფეხმავლო ხიდი 12 მეტრიანი (GPS 354)</t>
  </si>
  <si>
    <t>ლოკალური ხარჯთაღრიცხვა 2-6</t>
  </si>
  <si>
    <t>საფეხმავლო ხიდი 16 მეტრიანი (GPS 356)</t>
  </si>
  <si>
    <t>ლოკალური ხარჯთაღრიცხვა 2-7</t>
  </si>
  <si>
    <t>საფეხმავლო ხიდი 12 მეტრიანი (GPS 358)</t>
  </si>
  <si>
    <t>ლოკალური ხარჯთაღრიცხვა 2-8</t>
  </si>
  <si>
    <t>საფეხმავლო ხიდი 14 მეტრიანი (GPS 368)</t>
  </si>
  <si>
    <t>ლოკალური ხარჯთაღრიცხვა 2-9</t>
  </si>
  <si>
    <t>ლოკალური ხარჯთაღრიცხვა 2-10</t>
  </si>
  <si>
    <t>საფეხმავლო ხიდი 16 მეტრიანი (GPS 378)</t>
  </si>
  <si>
    <t>ლოკალური ხარჯთაღრიცხვა 2-11</t>
  </si>
  <si>
    <t>საფეხმავლო ხიდი 16 მეტრიანი (GPS 387)</t>
  </si>
  <si>
    <t>ლოკალური ხარჯთაღრიცხვა 2-12</t>
  </si>
  <si>
    <t>საფეხმავლო ხიდი 12 მეტრიანი (GPS 316)</t>
  </si>
  <si>
    <t>ლოკალური ხარჯთაღრიცხვა 2-13</t>
  </si>
  <si>
    <t>საფეხმავლო ხიდი 12 მეტრიანი (GPS 462)</t>
  </si>
  <si>
    <t>ლოკალური ხარჯთაღრიცხვა 2-14</t>
  </si>
  <si>
    <t>საფეხმავლო ხიდი 16 მეტრიანი (GPS 467)</t>
  </si>
  <si>
    <t>ლოკალური ხარჯთაღრიცხვა 2-15</t>
  </si>
  <si>
    <t>საფეხმავლო ხიდი 12 მეტრიანი (GPS 470)</t>
  </si>
  <si>
    <t>ლოკალური ხარჯთაღრიცხვა 2-16</t>
  </si>
  <si>
    <t>საფეხმავლო ხიდი 12 მეტრიანი (GPS 473)</t>
  </si>
  <si>
    <t>ლოკალური ხარჯთაღრიცხვა 2-17</t>
  </si>
  <si>
    <t>საფეხმავლო ხიდი 16 მეტრიანი (GPS 476)</t>
  </si>
  <si>
    <t>ლოკალური ხარჯთაღრიცხვა 2-18</t>
  </si>
  <si>
    <t>საფეხმავლო ხიდი 8 მეტრიანი (GPS 37T)</t>
  </si>
  <si>
    <t>ლოკალური ხარჯთაღრიცხვა 2-19</t>
  </si>
  <si>
    <t>საფეხმავლო ხიდი 16 მეტრიანი (GPS 86T)</t>
  </si>
  <si>
    <t>ლოკალური ხარჯთაღრიცხვა 2-20</t>
  </si>
  <si>
    <t>საფეხმავლო ხიდი 6 მეტრიანი (GPS 87T)</t>
  </si>
  <si>
    <t>ლოკალური ხარჯთაღრიცხვა 2-21</t>
  </si>
  <si>
    <t>საფეხმავლო ხიდი 10 მეტრიანი (GPS 91T)</t>
  </si>
  <si>
    <t>ლოკალური ხარჯთაღრიცხვა 2-22</t>
  </si>
  <si>
    <t>ლოკალური ხარჯთაღრიცხვა 2-23</t>
  </si>
  <si>
    <t>ლოკალური ხარჯთაღრიცხვა 2-24</t>
  </si>
  <si>
    <t>ლოკალური ხარჯთაღრიცხვა 2-25</t>
  </si>
  <si>
    <t>საფეხმავლო ხიდი 10 მეტრიანი (GPS 93T)</t>
  </si>
  <si>
    <t>საფეხმავლო ხიდი 10 მეტრიანი (GPS 94T)</t>
  </si>
  <si>
    <t>საფეხმავლო ხიდი 10 მეტრიანი (GPS 95T)</t>
  </si>
  <si>
    <t>საფეხმავლო ხიდი 10 მეტრიანი (GPS 96T)</t>
  </si>
  <si>
    <t>საფეხმავლო ხიდი 10 მეტრიანი (GPS 99T)</t>
  </si>
  <si>
    <t>ლოკალური ხარჯთაღრიცხვა 2-26</t>
  </si>
  <si>
    <t>საფეხმავლო ხიდი 16 მეტრიანი (GPS 98T)</t>
  </si>
  <si>
    <t>ლოკალური ხარჯთაღრიცხვა 2-27</t>
  </si>
  <si>
    <t>საფეხმავლო ხიდი 16 მეტრიანი (GPS 103T)</t>
  </si>
  <si>
    <t>ლოკალური ხარჯთაღრიცხვა 2-29</t>
  </si>
  <si>
    <t>საფეხმავლო ხიდი 16 მეტრიანი (GPS 110T)</t>
  </si>
  <si>
    <t>ლოკალური ხარჯთაღრიცხვა 2-28</t>
  </si>
  <si>
    <t>საფეხმავლო ხიდი 16 მეტრიანი (GPS 107T)</t>
  </si>
  <si>
    <t>ლოკალური ხარჯთაღრიცხვა 2-30</t>
  </si>
  <si>
    <t>საფეხმავლო ხიდი 12 მეტრიანი (GPS 71_T)</t>
  </si>
  <si>
    <t>ლოკალური ხარჯთაღრიცხვა 2-31</t>
  </si>
  <si>
    <t>საფეხმავლო ხიდი 12 მეტრიანი (GPS 72_T)</t>
  </si>
  <si>
    <t>სხვადასხვა სამუშაოები</t>
  </si>
  <si>
    <t>კლდეზე საფეხურების მოწყობა (კლდის მომტვრევა და დამუშავება საფეხურების ფორმის მისაღებად</t>
  </si>
  <si>
    <t>მთის ლოდებით მდინარეზე ფონური ხიდის მოწყობა 6 გრძ.მ (GPS 88T)</t>
  </si>
  <si>
    <t>მთის ლოდებით მდინარეზე ფონური ხიდის მოწყობა 6 გრძ.მ (GPS 89T)</t>
  </si>
  <si>
    <t>ჯაჭვის მოაჯირის მოწყობა კლდეზე დაანკერებით (ჯაჭვი 8 მმ; ანკერი 16)</t>
  </si>
  <si>
    <t>3-14</t>
  </si>
  <si>
    <t>3-15</t>
  </si>
  <si>
    <t>3-16</t>
  </si>
  <si>
    <t>3-17</t>
  </si>
  <si>
    <t>3-18</t>
  </si>
  <si>
    <t>3-19</t>
  </si>
  <si>
    <t>3-20</t>
  </si>
  <si>
    <t>3-21</t>
  </si>
  <si>
    <t>3-22</t>
  </si>
  <si>
    <t>3-23</t>
  </si>
  <si>
    <t>3-24</t>
  </si>
  <si>
    <t>3-25</t>
  </si>
  <si>
    <t>3-26</t>
  </si>
  <si>
    <t>3-27</t>
  </si>
  <si>
    <t>ლოკალური ხარჯთაღრიცხვა 3-3</t>
  </si>
  <si>
    <t>ლოკალური ხარჯთაღრიცხვა 3-2</t>
  </si>
  <si>
    <t>ლოკალური ხარჯთაღრიცხვა 3-1</t>
  </si>
  <si>
    <t>საფეხმავლო ხიდი 16 მეტრიანი (GPS 523)</t>
  </si>
  <si>
    <t>ლოკალური ხარჯთაღრიცხვა 3-4</t>
  </si>
  <si>
    <t>საფეხმავლო ხიდი 16 მეტრიანი (GPS 526)</t>
  </si>
  <si>
    <t>ჩ</t>
  </si>
  <si>
    <t>საფეხმავლო ხიდი 6 მეტრიანი (GPS 539)</t>
  </si>
  <si>
    <t>ლოკალური ხარჯთაღრიცხვა 3-5</t>
  </si>
  <si>
    <t>ლოკალური ხარჯთაღრიცხვა 3-6</t>
  </si>
  <si>
    <t>საფეხმავლო ხიდი 6 მეტრიანი (GPS 547)</t>
  </si>
  <si>
    <t>ლოკალური ხარჯთაღრიცხვა 3-7</t>
  </si>
  <si>
    <t>ლოკალური ხარჯთაღრიცხვა 3-8</t>
  </si>
  <si>
    <t>საფეხმავლო ხიდი 12 მეტრიანი (GPS 572)</t>
  </si>
  <si>
    <t>საფეხმავლო ხიდი 8 მეტრიანი (GPS 550)</t>
  </si>
  <si>
    <t>ლოკალური ხარჯთაღრიცხვა 3-9</t>
  </si>
  <si>
    <t>საფეხმავლო ხიდი 8 მეტრიანი (GPS 579)</t>
  </si>
  <si>
    <t>ლოკალური ხარჯთაღრიცხვა 3-10</t>
  </si>
  <si>
    <t>საფეხმავლო ხიდი 8 მეტრიანი (GPS 580)</t>
  </si>
  <si>
    <t>ლოკალური ხარჯთაღრიცხვა 3-11</t>
  </si>
  <si>
    <t>საფეხმავლო ხიდი 10 მეტრიანი (GPS 586)</t>
  </si>
  <si>
    <t>ლოკალური ხარჯთაღრიცხვა 3-12</t>
  </si>
  <si>
    <t>საფეხმავლო ხიდი 8 მეტრიანი (GPS 590)</t>
  </si>
  <si>
    <t>ლოკალური ხარჯთაღრიცხვა 3-13</t>
  </si>
  <si>
    <t>საფეხმავლო ხიდი 16 მეტრიანი (GPS 598)</t>
  </si>
  <si>
    <t>ლოკალური ხარჯთაღრიცხვა 3-14</t>
  </si>
  <si>
    <t>საფეხმავლო ხიდი 8 მეტრიანი (GPS 602)</t>
  </si>
  <si>
    <t>ლოკალური ხარჯთაღრიცხვა 3-15</t>
  </si>
  <si>
    <t>საფეხმავლო ხიდი 8 მეტრიანი (GPS 607)</t>
  </si>
  <si>
    <t>ლოკალური ხარჯთაღრიცხვა 3-16</t>
  </si>
  <si>
    <t>საფეხმავლო ხიდი 8 მეტრიანი (GPS 609)</t>
  </si>
  <si>
    <t>ლოკალური ხარჯთაღრიცხვა 3-18</t>
  </si>
  <si>
    <t>ლოკალური ხარჯთაღრიცხვა 3-17</t>
  </si>
  <si>
    <t>საფეხმავლო ხიდი 8 მეტრიანი (GPS 613)</t>
  </si>
  <si>
    <t>საფეხმავლო ხიდი 8 მეტრიანი (GPS 633)</t>
  </si>
  <si>
    <t>ლოკალური ხარჯთაღრიცხვა 3-19</t>
  </si>
  <si>
    <t>მთის ლოდებით მდინარეზე ფონური ხიდის მოწყობა 8 გრძ.მ (GPS 556)</t>
  </si>
  <si>
    <r>
      <t>D</t>
    </r>
    <r>
      <rPr>
        <sz val="12"/>
        <rFont val="AcadNusx"/>
      </rPr>
      <t>1</t>
    </r>
  </si>
  <si>
    <r>
      <t>D</t>
    </r>
    <r>
      <rPr>
        <sz val="12"/>
        <rFont val="AcadNusx"/>
      </rPr>
      <t>1-1</t>
    </r>
  </si>
  <si>
    <r>
      <t>D</t>
    </r>
    <r>
      <rPr>
        <sz val="12"/>
        <rFont val="AcadNusx"/>
      </rPr>
      <t>1-2</t>
    </r>
  </si>
  <si>
    <r>
      <t>D</t>
    </r>
    <r>
      <rPr>
        <sz val="12"/>
        <rFont val="AcadNusx"/>
      </rPr>
      <t>1-3</t>
    </r>
  </si>
  <si>
    <r>
      <t>D</t>
    </r>
    <r>
      <rPr>
        <sz val="12"/>
        <rFont val="AcadNusx"/>
      </rPr>
      <t>1-4</t>
    </r>
  </si>
  <si>
    <r>
      <t>D</t>
    </r>
    <r>
      <rPr>
        <sz val="12"/>
        <rFont val="AcadNusx"/>
      </rPr>
      <t>1-5</t>
    </r>
  </si>
  <si>
    <r>
      <t>D</t>
    </r>
    <r>
      <rPr>
        <sz val="12"/>
        <rFont val="AcadNusx"/>
      </rPr>
      <t>2</t>
    </r>
  </si>
  <si>
    <r>
      <t>D</t>
    </r>
    <r>
      <rPr>
        <sz val="12"/>
        <rFont val="AcadNusx"/>
      </rPr>
      <t>2-1</t>
    </r>
  </si>
  <si>
    <r>
      <t>D</t>
    </r>
    <r>
      <rPr>
        <sz val="12"/>
        <rFont val="AcadNusx"/>
      </rPr>
      <t>2-2</t>
    </r>
  </si>
  <si>
    <r>
      <t>D</t>
    </r>
    <r>
      <rPr>
        <sz val="12"/>
        <rFont val="AcadNusx"/>
      </rPr>
      <t>2-3</t>
    </r>
  </si>
  <si>
    <t>D 2-4</t>
  </si>
  <si>
    <t>D 2-5</t>
  </si>
  <si>
    <t>D 2-6</t>
  </si>
  <si>
    <t>D 2-7</t>
  </si>
  <si>
    <r>
      <t>D</t>
    </r>
    <r>
      <rPr>
        <sz val="12"/>
        <rFont val="AcadNusx"/>
      </rPr>
      <t>3</t>
    </r>
  </si>
  <si>
    <r>
      <t>D</t>
    </r>
    <r>
      <rPr>
        <sz val="12"/>
        <rFont val="AcadNusx"/>
      </rPr>
      <t>3-1</t>
    </r>
  </si>
  <si>
    <r>
      <t>D</t>
    </r>
    <r>
      <rPr>
        <sz val="12"/>
        <rFont val="AcadNusx"/>
      </rPr>
      <t>3-2</t>
    </r>
  </si>
  <si>
    <r>
      <t>D</t>
    </r>
    <r>
      <rPr>
        <sz val="12"/>
        <rFont val="AcadNusx"/>
      </rPr>
      <t>3-3</t>
    </r>
  </si>
  <si>
    <t>D3-4</t>
  </si>
  <si>
    <t>D3-5</t>
  </si>
  <si>
    <t>D3-6</t>
  </si>
  <si>
    <t>D3-7</t>
  </si>
  <si>
    <t>D3-8</t>
  </si>
  <si>
    <t>D-1</t>
  </si>
  <si>
    <t>D-2</t>
  </si>
  <si>
    <t>D-3</t>
  </si>
  <si>
    <t>* შენიშვნა: სატენდერო წინადადება, სადაც არ იქნება დღიური სამუშაოების ერთეული ფასები განფასებული იქნება უარყოფილი</t>
  </si>
  <si>
    <t>ქვეთავი D-დღიური სამუშაოები</t>
  </si>
  <si>
    <t>ნაწილი</t>
  </si>
  <si>
    <t>დასახელება</t>
  </si>
  <si>
    <t>ერთ.ფასი ლარებში</t>
  </si>
  <si>
    <t>სულ ლარი</t>
  </si>
  <si>
    <t>ხელფასი</t>
  </si>
  <si>
    <t>ბრიგადირი</t>
  </si>
  <si>
    <t>კვალიფიციური მუშა</t>
  </si>
  <si>
    <t>არაკვალიფიციური მუშა</t>
  </si>
  <si>
    <t>მძღოლი</t>
  </si>
  <si>
    <t>ამწეკრანის მძღოლი</t>
  </si>
  <si>
    <t>მასალები</t>
  </si>
  <si>
    <t>ბეტონი</t>
  </si>
  <si>
    <t>ლითონის კონსტრუქციის ელემენტები</t>
  </si>
  <si>
    <t>ხის მასალები</t>
  </si>
  <si>
    <t>არმატურა</t>
  </si>
  <si>
    <t>ცემენტი</t>
  </si>
  <si>
    <t>ჯაჭვი 8-9 მმ</t>
  </si>
  <si>
    <t>სამშენებლო მექანიზმები</t>
  </si>
  <si>
    <t>ექსკავატორი 0.5 მ3</t>
  </si>
  <si>
    <t>ავტოთვითმცლელი 10 ტ</t>
  </si>
  <si>
    <t>ავტოსატვირთველი 10 ტ</t>
  </si>
  <si>
    <t>ამწე საავტომობილო სვლაზე</t>
  </si>
  <si>
    <t>სანგრევი ჩაქუჩი 9პერფერატორი)</t>
  </si>
  <si>
    <t>გენერატორი</t>
  </si>
  <si>
    <t>ვერტმფრენი</t>
  </si>
  <si>
    <t>ელექტრო ტალი</t>
  </si>
  <si>
    <t>სთ</t>
  </si>
  <si>
    <t>სულ: D-3</t>
  </si>
  <si>
    <t>ანკერი მ-18</t>
  </si>
  <si>
    <t>სულ: D-2</t>
  </si>
  <si>
    <t>სულ: D-1</t>
  </si>
  <si>
    <t>კლდის მონგრევა ელ-პერფერატორით</t>
  </si>
  <si>
    <t>ღირებულება ლარი</t>
  </si>
  <si>
    <t>ხელფასები</t>
  </si>
  <si>
    <t>ჯამი</t>
  </si>
  <si>
    <t>ლითონის კონსტრუქციების დამუშავება ანტიკოროზიული ხსნარით</t>
  </si>
  <si>
    <t>ობიექტის, სამუშაოებისა და ხარჯების დასახელება</t>
  </si>
  <si>
    <t>ღირებულება</t>
  </si>
  <si>
    <t>გაუთვალისიწნებელი სამუშაოები - ღირებულების 5%</t>
  </si>
  <si>
    <t>yazbegis, aragvis, fSav-xevsureTisa da TuSeTis dacul teritoriebze arsebuli 7 qoxis saxarjTaRricxvo dokumentacia.</t>
  </si>
  <si>
    <t>mSeneblobis Rirebulebis  nakrebi saxarjTaRricxvo angariSi</t>
  </si>
  <si>
    <t>#</t>
  </si>
  <si>
    <t>qveTavi</t>
  </si>
  <si>
    <t>obieqtis, samuSaoebis da xarjebis dasaxeleba</t>
  </si>
  <si>
    <t>saxarjTRricxvo Rirebuleba _ lari</t>
  </si>
  <si>
    <t xml:space="preserve">samSeneblo samuSaoebi </t>
  </si>
  <si>
    <t>dRiuri samuSaoebi</t>
  </si>
  <si>
    <t>sul</t>
  </si>
  <si>
    <t>DdRg 18%</t>
  </si>
  <si>
    <t>გაუთვალისწინებელი თანხა - ღირებულების 5%</t>
  </si>
  <si>
    <r>
      <t xml:space="preserve"> D</t>
    </r>
    <r>
      <rPr>
        <b/>
        <sz val="14"/>
        <rFont val="AcadNusx"/>
      </rPr>
      <t>-dRiuri samuSaoebis nakrebi</t>
    </r>
  </si>
  <si>
    <t>dasaxeleba</t>
  </si>
  <si>
    <t>Rirebuleba lari</t>
  </si>
  <si>
    <t>xelfasi</t>
  </si>
  <si>
    <t>masalebi</t>
  </si>
  <si>
    <t>samSeneblo meqanizmebi</t>
  </si>
  <si>
    <t>jami</t>
  </si>
  <si>
    <r>
      <t>qveTavi</t>
    </r>
    <r>
      <rPr>
        <b/>
        <sz val="14"/>
        <rFont val="Academic-Times"/>
      </rPr>
      <t xml:space="preserve"> D</t>
    </r>
    <r>
      <rPr>
        <b/>
        <sz val="14"/>
        <rFont val="AcadNusx"/>
      </rPr>
      <t>-dRiuri samuSaoebi</t>
    </r>
  </si>
  <si>
    <t>nawili</t>
  </si>
  <si>
    <t>ganzomileba</t>
  </si>
  <si>
    <t>raodenoba</t>
  </si>
  <si>
    <t>erT.fasi larebSi</t>
  </si>
  <si>
    <t>sul lari</t>
  </si>
  <si>
    <t>brigadiri</t>
  </si>
  <si>
    <t>sT</t>
  </si>
  <si>
    <t>kvalificiuri  muSa</t>
  </si>
  <si>
    <t>arakvalificiuri muSa</t>
  </si>
  <si>
    <t>mZRoli</t>
  </si>
  <si>
    <r>
      <t xml:space="preserve">sul: </t>
    </r>
    <r>
      <rPr>
        <b/>
        <sz val="12"/>
        <rFont val="Arial"/>
        <family val="2"/>
        <charset val="204"/>
      </rPr>
      <t>D</t>
    </r>
    <r>
      <rPr>
        <b/>
        <sz val="12"/>
        <rFont val="AcadNusx"/>
      </rPr>
      <t>-1</t>
    </r>
  </si>
  <si>
    <r>
      <t>betoni ~</t>
    </r>
    <r>
      <rPr>
        <sz val="12"/>
        <rFont val="Calibri"/>
        <family val="2"/>
        <charset val="204"/>
        <scheme val="minor"/>
      </rPr>
      <t>B20</t>
    </r>
    <r>
      <rPr>
        <sz val="12"/>
        <rFont val="AcadNusx"/>
      </rPr>
      <t>~</t>
    </r>
  </si>
  <si>
    <r>
      <t>m</t>
    </r>
    <r>
      <rPr>
        <sz val="12"/>
        <rFont val="Calibri"/>
        <family val="2"/>
        <charset val="204"/>
      </rPr>
      <t>³</t>
    </r>
  </si>
  <si>
    <r>
      <t>D</t>
    </r>
    <r>
      <rPr>
        <sz val="12"/>
        <rFont val="AcadNusx"/>
      </rPr>
      <t>2-2</t>
    </r>
    <r>
      <rPr>
        <sz val="11"/>
        <color theme="1"/>
        <rFont val="Calibri"/>
        <family val="2"/>
        <charset val="204"/>
        <scheme val="minor"/>
      </rPr>
      <t/>
    </r>
  </si>
  <si>
    <r>
      <t>betoni ~</t>
    </r>
    <r>
      <rPr>
        <sz val="12"/>
        <rFont val="Calibri"/>
        <family val="2"/>
        <charset val="204"/>
        <scheme val="minor"/>
      </rPr>
      <t>B7,5</t>
    </r>
    <r>
      <rPr>
        <sz val="12"/>
        <rFont val="AcadNusx"/>
      </rPr>
      <t>~</t>
    </r>
  </si>
  <si>
    <r>
      <t>D</t>
    </r>
    <r>
      <rPr>
        <sz val="12"/>
        <rFont val="AcadNusx"/>
      </rPr>
      <t>2-3</t>
    </r>
    <r>
      <rPr>
        <sz val="11"/>
        <color theme="1"/>
        <rFont val="Calibri"/>
        <family val="2"/>
        <charset val="204"/>
        <scheme val="minor"/>
      </rPr>
      <t/>
    </r>
  </si>
  <si>
    <r>
      <rPr>
        <sz val="11"/>
        <rFont val="Calibri"/>
        <family val="2"/>
        <charset val="204"/>
        <scheme val="minor"/>
      </rPr>
      <t>A240C</t>
    </r>
    <r>
      <rPr>
        <sz val="11"/>
        <rFont val="AcadNusx"/>
      </rPr>
      <t xml:space="preserve"> klasis armatura</t>
    </r>
  </si>
  <si>
    <t>t</t>
  </si>
  <si>
    <r>
      <t>D</t>
    </r>
    <r>
      <rPr>
        <sz val="12"/>
        <rFont val="AcadNusx"/>
      </rPr>
      <t>2-4</t>
    </r>
    <r>
      <rPr>
        <sz val="11"/>
        <color theme="1"/>
        <rFont val="Calibri"/>
        <family val="2"/>
        <charset val="204"/>
        <scheme val="minor"/>
      </rPr>
      <t/>
    </r>
  </si>
  <si>
    <r>
      <rPr>
        <sz val="11"/>
        <rFont val="Calibri"/>
        <family val="2"/>
        <charset val="204"/>
        <scheme val="minor"/>
      </rPr>
      <t>A500C</t>
    </r>
    <r>
      <rPr>
        <sz val="11"/>
        <rFont val="AcadNusx"/>
      </rPr>
      <t xml:space="preserve"> klasis armatura</t>
    </r>
  </si>
  <si>
    <t>liTonis elementebi</t>
  </si>
  <si>
    <t>magari jSis xis xis masala. antiseptirebuli da antiperirebuli</t>
  </si>
  <si>
    <t>qvabambiT sisq. 100mm. (araaalebadi)</t>
  </si>
  <si>
    <r>
      <t>m</t>
    </r>
    <r>
      <rPr>
        <sz val="12"/>
        <rFont val="Calibri"/>
        <family val="2"/>
        <charset val="204"/>
      </rPr>
      <t>²</t>
    </r>
  </si>
  <si>
    <t xml:space="preserve">sadrenaJe da hidrosaizolacio masala </t>
  </si>
  <si>
    <r>
      <t>m</t>
    </r>
    <r>
      <rPr>
        <vertAlign val="superscript"/>
        <sz val="12"/>
        <rFont val="AcadNusx"/>
      </rPr>
      <t>2</t>
    </r>
  </si>
  <si>
    <r>
      <t>D</t>
    </r>
    <r>
      <rPr>
        <sz val="12"/>
        <rFont val="AcadNusx"/>
      </rPr>
      <t>2-5</t>
    </r>
    <r>
      <rPr>
        <sz val="11"/>
        <color theme="1"/>
        <rFont val="Calibri"/>
        <family val="2"/>
        <charset val="204"/>
        <scheme val="minor"/>
      </rPr>
      <t/>
    </r>
  </si>
  <si>
    <t>lursmani samSeneblo</t>
  </si>
  <si>
    <t>kg</t>
  </si>
  <si>
    <r>
      <t>D</t>
    </r>
    <r>
      <rPr>
        <sz val="12"/>
        <rFont val="AcadNusx"/>
      </rPr>
      <t>2-6</t>
    </r>
    <r>
      <rPr>
        <sz val="11"/>
        <color theme="1"/>
        <rFont val="Calibri"/>
        <family val="2"/>
        <charset val="204"/>
        <scheme val="minor"/>
      </rPr>
      <t/>
    </r>
  </si>
  <si>
    <t>nestgamZle TabaSirmuyao (kompl. qvekonstruqciiT)</t>
  </si>
  <si>
    <r>
      <t>D</t>
    </r>
    <r>
      <rPr>
        <sz val="12"/>
        <rFont val="AcadNusx"/>
      </rPr>
      <t>2-7</t>
    </r>
    <r>
      <rPr>
        <sz val="11"/>
        <color theme="1"/>
        <rFont val="Calibri"/>
        <family val="2"/>
        <charset val="204"/>
        <scheme val="minor"/>
      </rPr>
      <t/>
    </r>
  </si>
  <si>
    <t>cementi</t>
  </si>
  <si>
    <r>
      <t>D</t>
    </r>
    <r>
      <rPr>
        <sz val="12"/>
        <rFont val="AcadNusx"/>
      </rPr>
      <t>2-8</t>
    </r>
    <r>
      <rPr>
        <sz val="11"/>
        <color theme="1"/>
        <rFont val="Calibri"/>
        <family val="2"/>
        <charset val="204"/>
        <scheme val="minor"/>
      </rPr>
      <t/>
    </r>
  </si>
  <si>
    <t>qviSa</t>
  </si>
  <si>
    <r>
      <t>D</t>
    </r>
    <r>
      <rPr>
        <sz val="12"/>
        <rFont val="AcadNusx"/>
      </rPr>
      <t>2-9</t>
    </r>
    <r>
      <rPr>
        <sz val="11"/>
        <color theme="1"/>
        <rFont val="Calibri"/>
        <family val="2"/>
        <charset val="204"/>
        <scheme val="minor"/>
      </rPr>
      <t/>
    </r>
  </si>
  <si>
    <t>riyis qva</t>
  </si>
  <si>
    <r>
      <t>D</t>
    </r>
    <r>
      <rPr>
        <sz val="12"/>
        <rFont val="AcadNusx"/>
      </rPr>
      <t>2-10</t>
    </r>
    <r>
      <rPr>
        <sz val="11"/>
        <color theme="1"/>
        <rFont val="Calibri"/>
        <family val="2"/>
        <charset val="204"/>
        <scheme val="minor"/>
      </rPr>
      <t/>
    </r>
  </si>
  <si>
    <t>minapaketiT Seminuli magari jiSis xis fanjara, antiseptirebuli da antiperirebuli, rkinakaveuliT</t>
  </si>
  <si>
    <r>
      <t>D</t>
    </r>
    <r>
      <rPr>
        <sz val="12"/>
        <rFont val="AcadNusx"/>
      </rPr>
      <t>2-11</t>
    </r>
    <r>
      <rPr>
        <sz val="11"/>
        <color theme="1"/>
        <rFont val="Calibri"/>
        <family val="2"/>
        <charset val="204"/>
        <scheme val="minor"/>
      </rPr>
      <t/>
    </r>
  </si>
  <si>
    <t xml:space="preserve">magari jiSis xis yru kari, antiseptikirebuli da antiperirebuli, rkinakaveuliT </t>
  </si>
  <si>
    <r>
      <t>D</t>
    </r>
    <r>
      <rPr>
        <sz val="12"/>
        <rFont val="AcadNusx"/>
      </rPr>
      <t>2-12</t>
    </r>
    <r>
      <rPr>
        <sz val="11"/>
        <color theme="1"/>
        <rFont val="Calibri"/>
        <family val="2"/>
        <charset val="204"/>
        <scheme val="minor"/>
      </rPr>
      <t/>
    </r>
  </si>
  <si>
    <r>
      <t xml:space="preserve">nestgamZle </t>
    </r>
    <r>
      <rPr>
        <sz val="12"/>
        <rFont val="Calibri"/>
        <family val="2"/>
        <charset val="204"/>
        <scheme val="minor"/>
      </rPr>
      <t>OSB</t>
    </r>
    <r>
      <rPr>
        <sz val="12"/>
        <rFont val="AcadNusx"/>
      </rPr>
      <t xml:space="preserve"> fila sisq. 18mm.</t>
    </r>
  </si>
  <si>
    <r>
      <t>D</t>
    </r>
    <r>
      <rPr>
        <sz val="12"/>
        <rFont val="AcadNusx"/>
      </rPr>
      <t>2-13</t>
    </r>
    <r>
      <rPr>
        <sz val="11"/>
        <color theme="1"/>
        <rFont val="Calibri"/>
        <family val="2"/>
        <charset val="204"/>
        <scheme val="minor"/>
      </rPr>
      <t/>
    </r>
  </si>
  <si>
    <t>keramikuli fila (iatakis)</t>
  </si>
  <si>
    <r>
      <t>D</t>
    </r>
    <r>
      <rPr>
        <sz val="12"/>
        <rFont val="AcadNusx"/>
      </rPr>
      <t>2-14</t>
    </r>
    <r>
      <rPr>
        <sz val="11"/>
        <color theme="1"/>
        <rFont val="Calibri"/>
        <family val="2"/>
        <charset val="204"/>
        <scheme val="minor"/>
      </rPr>
      <t/>
    </r>
  </si>
  <si>
    <t>keramikuli fila (kedlis)</t>
  </si>
  <si>
    <r>
      <t>D</t>
    </r>
    <r>
      <rPr>
        <sz val="12"/>
        <rFont val="AcadNusx"/>
      </rPr>
      <t>2-15</t>
    </r>
    <r>
      <rPr>
        <sz val="11"/>
        <color theme="1"/>
        <rFont val="Calibri"/>
        <family val="2"/>
        <charset val="204"/>
        <scheme val="minor"/>
      </rPr>
      <t/>
    </r>
  </si>
  <si>
    <t>webo-cementi</t>
  </si>
  <si>
    <r>
      <t>D</t>
    </r>
    <r>
      <rPr>
        <sz val="12"/>
        <rFont val="AcadNusx"/>
      </rPr>
      <t>2-16</t>
    </r>
    <r>
      <rPr>
        <sz val="11"/>
        <color theme="1"/>
        <rFont val="Calibri"/>
        <family val="2"/>
        <charset val="204"/>
        <scheme val="minor"/>
      </rPr>
      <t/>
    </r>
  </si>
  <si>
    <r>
      <rPr>
        <sz val="12"/>
        <rFont val="Calibri"/>
        <family val="2"/>
        <charset val="204"/>
        <scheme val="minor"/>
      </rPr>
      <t>XPS</t>
    </r>
    <r>
      <rPr>
        <sz val="12"/>
        <rFont val="AcadNusx"/>
      </rPr>
      <t xml:space="preserve"> sisq. 50mm. </t>
    </r>
  </si>
  <si>
    <r>
      <t>D</t>
    </r>
    <r>
      <rPr>
        <sz val="12"/>
        <rFont val="AcadNusx"/>
      </rPr>
      <t>2-21</t>
    </r>
    <r>
      <rPr>
        <sz val="11"/>
        <color theme="1"/>
        <rFont val="Calibri"/>
        <family val="2"/>
        <charset val="204"/>
        <scheme val="minor"/>
      </rPr>
      <t/>
    </r>
  </si>
  <si>
    <t xml:space="preserve">lonokromi qveda fena </t>
  </si>
  <si>
    <r>
      <t>D</t>
    </r>
    <r>
      <rPr>
        <sz val="12"/>
        <rFont val="AcadNusx"/>
      </rPr>
      <t>2-22</t>
    </r>
    <r>
      <rPr>
        <sz val="11"/>
        <color theme="1"/>
        <rFont val="Calibri"/>
        <family val="2"/>
        <charset val="204"/>
        <scheme val="minor"/>
      </rPr>
      <t/>
    </r>
  </si>
  <si>
    <t>lonokromi zeda fena</t>
  </si>
  <si>
    <r>
      <t>D</t>
    </r>
    <r>
      <rPr>
        <sz val="12"/>
        <rFont val="AcadNusx"/>
      </rPr>
      <t>2-23</t>
    </r>
    <r>
      <rPr>
        <sz val="11"/>
        <color theme="1"/>
        <rFont val="Calibri"/>
        <family val="2"/>
        <charset val="204"/>
        <scheme val="minor"/>
      </rPr>
      <t/>
    </r>
  </si>
  <si>
    <t xml:space="preserve">praimeri </t>
  </si>
  <si>
    <r>
      <t>D</t>
    </r>
    <r>
      <rPr>
        <sz val="12"/>
        <rFont val="AcadNusx"/>
      </rPr>
      <t>2-24</t>
    </r>
    <r>
      <rPr>
        <sz val="11"/>
        <color theme="1"/>
        <rFont val="Calibri"/>
        <family val="2"/>
        <charset val="204"/>
        <scheme val="minor"/>
      </rPr>
      <t/>
    </r>
  </si>
  <si>
    <t xml:space="preserve">Txevadi gazi </t>
  </si>
  <si>
    <r>
      <t>D</t>
    </r>
    <r>
      <rPr>
        <sz val="12"/>
        <rFont val="AcadNusx"/>
      </rPr>
      <t>2-17</t>
    </r>
    <r>
      <rPr>
        <sz val="11"/>
        <color theme="1"/>
        <rFont val="Calibri"/>
        <family val="2"/>
        <charset val="204"/>
        <scheme val="minor"/>
      </rPr>
      <t/>
    </r>
  </si>
  <si>
    <t>nestgamZle TabaSirmuyaos Sekiduli Weri  (kompleqti qvekonstruqciiT da damxmare masaliT)</t>
  </si>
  <si>
    <r>
      <t>D</t>
    </r>
    <r>
      <rPr>
        <sz val="12"/>
        <rFont val="AcadNusx"/>
      </rPr>
      <t>2-18</t>
    </r>
    <r>
      <rPr>
        <sz val="11"/>
        <color theme="1"/>
        <rFont val="Calibri"/>
        <family val="2"/>
        <charset val="204"/>
        <scheme val="minor"/>
      </rPr>
      <t/>
    </r>
  </si>
  <si>
    <t xml:space="preserve">fiqalis qva </t>
  </si>
  <si>
    <r>
      <t>D</t>
    </r>
    <r>
      <rPr>
        <sz val="12"/>
        <rFont val="AcadNusx"/>
      </rPr>
      <t>2-19</t>
    </r>
    <r>
      <rPr>
        <sz val="11"/>
        <color theme="1"/>
        <rFont val="Calibri"/>
        <family val="2"/>
        <charset val="204"/>
        <scheme val="minor"/>
      </rPr>
      <t/>
    </r>
  </si>
  <si>
    <t>TviTmWreli  WanWiki, qanCi</t>
  </si>
  <si>
    <t>cali</t>
  </si>
  <si>
    <r>
      <t>D</t>
    </r>
    <r>
      <rPr>
        <sz val="12"/>
        <rFont val="AcadNusx"/>
      </rPr>
      <t>2-20</t>
    </r>
    <r>
      <rPr>
        <sz val="11"/>
        <color theme="1"/>
        <rFont val="Calibri"/>
        <family val="2"/>
        <charset val="204"/>
        <scheme val="minor"/>
      </rPr>
      <t/>
    </r>
  </si>
  <si>
    <t>sagrunti, saRebavi, laqi</t>
  </si>
  <si>
    <r>
      <t xml:space="preserve">sul: </t>
    </r>
    <r>
      <rPr>
        <b/>
        <sz val="12"/>
        <rFont val="Arial"/>
        <family val="2"/>
        <charset val="204"/>
      </rPr>
      <t>D</t>
    </r>
    <r>
      <rPr>
        <b/>
        <sz val="12"/>
        <rFont val="AcadNusx"/>
      </rPr>
      <t>-2</t>
    </r>
  </si>
  <si>
    <t>avtosatvirTveli 10 tn, masalis transportirebisTvis bazamde da cxeniT bazidan obieqtande.</t>
  </si>
  <si>
    <r>
      <t>D</t>
    </r>
    <r>
      <rPr>
        <sz val="12"/>
        <rFont val="AcadNusx"/>
      </rPr>
      <t>3-2</t>
    </r>
    <r>
      <rPr>
        <sz val="11"/>
        <color theme="1"/>
        <rFont val="Calibri"/>
        <family val="2"/>
        <charset val="204"/>
        <scheme val="minor"/>
      </rPr>
      <t/>
    </r>
  </si>
  <si>
    <t>vertmfrenis momsaxureoba   mobilizaciiis CaTvliT.</t>
  </si>
  <si>
    <r>
      <t xml:space="preserve">sul: </t>
    </r>
    <r>
      <rPr>
        <b/>
        <sz val="12"/>
        <rFont val="Arial"/>
        <family val="2"/>
        <charset val="204"/>
      </rPr>
      <t>D</t>
    </r>
    <r>
      <rPr>
        <b/>
        <sz val="12"/>
        <rFont val="AcadNusx"/>
      </rPr>
      <t>-3</t>
    </r>
  </si>
  <si>
    <t>mSeneblobis Rirebulebis krebsiTi saxarjTaRricxvo gaangariSeba</t>
  </si>
  <si>
    <t>rigiTi #</t>
  </si>
  <si>
    <t>xarjT.                  #</t>
  </si>
  <si>
    <t>Tavebis, obieqtebis, samuSaoebisa da danaxarjebis dasaxeleba</t>
  </si>
  <si>
    <t xml:space="preserve">saxarjTaRricxvo Rirebuleba lari </t>
  </si>
  <si>
    <t>3</t>
  </si>
  <si>
    <t>4</t>
  </si>
  <si>
    <t>Tavi 2</t>
  </si>
  <si>
    <t>ob.xarj. #-1</t>
  </si>
  <si>
    <t>qoxi da cxenebis sadgomi abudelaurze.</t>
  </si>
  <si>
    <t>ob.xarj.  #-2</t>
  </si>
  <si>
    <t>qoxi  da cxenebis sadgomi arxotis Tavze.</t>
  </si>
  <si>
    <t>ob.xarj.  #-3</t>
  </si>
  <si>
    <t>qoxi  da cxenebis sadgomi daTvisjvarze.</t>
  </si>
  <si>
    <t>ob.xarj.  #-4</t>
  </si>
  <si>
    <t>qoxi  da cxenebis sadgomi qvaxidze.</t>
  </si>
  <si>
    <t>ob.xarj.  #-5</t>
  </si>
  <si>
    <t>qoxi  da cxenebis sadgomi zeda tanieze.</t>
  </si>
  <si>
    <t>ob.xarj.  #-6</t>
  </si>
  <si>
    <t>qoxi  da cxenebis sadgomi qveda tanieze.</t>
  </si>
  <si>
    <t>ob.xarj.  #-7</t>
  </si>
  <si>
    <t>qoxi  da cxenebis sadgomi xidotanze.</t>
  </si>
  <si>
    <t>sul  xarjTaRricxviT</t>
  </si>
  <si>
    <t xml:space="preserve"> obieqturi saxarjTaRricxvo Rirebuleba  #1</t>
  </si>
  <si>
    <t>rigiTi nomeri</t>
  </si>
  <si>
    <t>samuSaoebisa da danaxarjebis dasaxeleba</t>
  </si>
  <si>
    <t>saerTo saxarjTaRricxvo Rirebuleba</t>
  </si>
  <si>
    <t>samSeneblo samuSaoebi (qoxi)</t>
  </si>
  <si>
    <t>samSeneblo samuSaoebi (cxenebis sadgomi)</t>
  </si>
  <si>
    <t>gaTboba</t>
  </si>
  <si>
    <t>ventilacia</t>
  </si>
  <si>
    <t>5</t>
  </si>
  <si>
    <t>wyalsaden kanalizacia</t>
  </si>
  <si>
    <t>6</t>
  </si>
  <si>
    <t>el.energiis warmoeba</t>
  </si>
  <si>
    <t xml:space="preserve">eleqtro gamanawilebeli da ganaTebis sistema </t>
  </si>
  <si>
    <t>usafrTxoebisa da gadarCenis sistemebi</t>
  </si>
  <si>
    <t>sul ჯამი</t>
  </si>
  <si>
    <t>qoxi abudelaurze</t>
  </si>
  <si>
    <t>xarjTaRricxva #1-1</t>
  </si>
  <si>
    <t>samSeneblo samuSaoebi</t>
  </si>
  <si>
    <t># rigze</t>
  </si>
  <si>
    <t xml:space="preserve">samuSaoebisa da xarjebis dasaxeleba </t>
  </si>
  <si>
    <t>ganzomileba.</t>
  </si>
  <si>
    <t>erTeulis fasi</t>
  </si>
  <si>
    <r>
      <t xml:space="preserve">jami </t>
    </r>
    <r>
      <rPr>
        <b/>
        <sz val="11"/>
        <rFont val="AcadNusx"/>
      </rPr>
      <t>lari</t>
    </r>
  </si>
  <si>
    <t>miwis samuSaoebi</t>
  </si>
  <si>
    <t>gruntis damuSaveba xeliT III kat. gruntSi</t>
  </si>
  <si>
    <t>kub.m.</t>
  </si>
  <si>
    <t>damuSavebuli gruntis datvirTva da gadmotvirTva urikebze gadaadgilebiT 200m da gaSla adgilze</t>
  </si>
  <si>
    <t>damuSavebuli gruntis ukuCayra xeliT</t>
  </si>
  <si>
    <t>konstruqciuli elementebi</t>
  </si>
  <si>
    <r>
      <t>mon. r/b saZirkvlis koWebis mowyoba sk-1 (3 c); skm-1 (3c), betoni ~</t>
    </r>
    <r>
      <rPr>
        <sz val="11"/>
        <rFont val="Calibri"/>
        <family val="2"/>
        <charset val="204"/>
        <scheme val="minor"/>
      </rPr>
      <t>B20</t>
    </r>
    <r>
      <rPr>
        <sz val="11"/>
        <rFont val="AcadNusx"/>
      </rPr>
      <t>~</t>
    </r>
  </si>
  <si>
    <t>1.1.</t>
  </si>
  <si>
    <r>
      <rPr>
        <sz val="11"/>
        <rFont val="Calibri"/>
        <family val="2"/>
        <charset val="204"/>
      </rPr>
      <t>Ø8</t>
    </r>
    <r>
      <rPr>
        <sz val="11"/>
        <rFont val="AcadNusx"/>
      </rPr>
      <t xml:space="preserve"> </t>
    </r>
    <r>
      <rPr>
        <sz val="11"/>
        <rFont val="Calibri"/>
        <family val="2"/>
        <charset val="204"/>
        <scheme val="minor"/>
      </rPr>
      <t>A240C</t>
    </r>
    <r>
      <rPr>
        <sz val="11"/>
        <rFont val="AcadNusx"/>
      </rPr>
      <t xml:space="preserve"> klasis armatura</t>
    </r>
  </si>
  <si>
    <t>tona</t>
  </si>
  <si>
    <t>1.2.</t>
  </si>
  <si>
    <r>
      <rPr>
        <sz val="11"/>
        <rFont val="Calibri"/>
        <family val="2"/>
        <charset val="204"/>
      </rPr>
      <t>Ø</t>
    </r>
    <r>
      <rPr>
        <sz val="11"/>
        <rFont val="AcadNusx"/>
      </rPr>
      <t xml:space="preserve">12 da meti </t>
    </r>
    <r>
      <rPr>
        <sz val="11"/>
        <rFont val="Calibri"/>
        <family val="2"/>
        <charset val="204"/>
        <scheme val="minor"/>
      </rPr>
      <t>A500C</t>
    </r>
    <r>
      <rPr>
        <sz val="11"/>
        <rFont val="AcadNusx"/>
      </rPr>
      <t xml:space="preserve"> kl. armatura</t>
    </r>
  </si>
  <si>
    <t>1.3.</t>
  </si>
  <si>
    <r>
      <rPr>
        <sz val="11"/>
        <rFont val="Calibri"/>
        <family val="2"/>
        <charset val="204"/>
      </rPr>
      <t>D16</t>
    </r>
    <r>
      <rPr>
        <sz val="11"/>
        <rFont val="AcadNusx"/>
      </rPr>
      <t xml:space="preserve"> ankeri</t>
    </r>
  </si>
  <si>
    <t>1.4.</t>
  </si>
  <si>
    <r>
      <rPr>
        <sz val="11"/>
        <rFont val="Calibri"/>
        <family val="2"/>
        <charset val="204"/>
      </rPr>
      <t>D18</t>
    </r>
    <r>
      <rPr>
        <sz val="11"/>
        <rFont val="AcadNusx"/>
      </rPr>
      <t xml:space="preserve"> ankeri</t>
    </r>
  </si>
  <si>
    <r>
      <t>mon. r/b svetebis mowyoba sm-1 (3c); sm-2 (3c); sm-3 (3c).  betoni ~</t>
    </r>
    <r>
      <rPr>
        <sz val="11"/>
        <rFont val="Calibri"/>
        <family val="2"/>
        <charset val="204"/>
        <scheme val="minor"/>
      </rPr>
      <t>В20</t>
    </r>
    <r>
      <rPr>
        <sz val="11"/>
        <rFont val="AcadNusx"/>
      </rPr>
      <t>~</t>
    </r>
  </si>
  <si>
    <t>2.1.</t>
  </si>
  <si>
    <t>2.2.</t>
  </si>
  <si>
    <t>2.3.</t>
  </si>
  <si>
    <r>
      <t>betonis momzadeba sisq. 10sm, betoni ~</t>
    </r>
    <r>
      <rPr>
        <sz val="11"/>
        <rFont val="Calibri"/>
        <family val="2"/>
        <charset val="204"/>
        <scheme val="minor"/>
      </rPr>
      <t>B7,5</t>
    </r>
    <r>
      <rPr>
        <sz val="11"/>
        <rFont val="AcadNusx"/>
      </rPr>
      <t>~</t>
    </r>
  </si>
  <si>
    <r>
      <t>mon. r/b cokoli -1,4 - +2,95 niS. betoni ~</t>
    </r>
    <r>
      <rPr>
        <sz val="11"/>
        <rFont val="Calibri"/>
        <family val="2"/>
        <charset val="204"/>
        <scheme val="minor"/>
      </rPr>
      <t>В20</t>
    </r>
    <r>
      <rPr>
        <sz val="11"/>
        <rFont val="AcadNusx"/>
      </rPr>
      <t>~ ~</t>
    </r>
    <r>
      <rPr>
        <sz val="11"/>
        <rFont val="Calibri"/>
        <family val="2"/>
        <charset val="204"/>
        <scheme val="minor"/>
      </rPr>
      <t>W8</t>
    </r>
    <r>
      <rPr>
        <sz val="11"/>
        <rFont val="AcadNusx"/>
      </rPr>
      <t>~</t>
    </r>
  </si>
  <si>
    <t>4.1.</t>
  </si>
  <si>
    <t>4.2.</t>
  </si>
  <si>
    <r>
      <rPr>
        <sz val="11"/>
        <rFont val="Calibri"/>
        <family val="2"/>
        <charset val="204"/>
      </rPr>
      <t>Ø</t>
    </r>
    <r>
      <rPr>
        <sz val="11"/>
        <rFont val="AcadNusx"/>
      </rPr>
      <t xml:space="preserve">10 </t>
    </r>
    <r>
      <rPr>
        <sz val="11"/>
        <rFont val="Calibri"/>
        <family val="2"/>
        <charset val="204"/>
        <scheme val="minor"/>
      </rPr>
      <t>A500C</t>
    </r>
    <r>
      <rPr>
        <sz val="11"/>
        <rFont val="AcadNusx"/>
      </rPr>
      <t xml:space="preserve"> kl. armatura</t>
    </r>
  </si>
  <si>
    <t>miwasTan SexebaSi myofi cokolis kedlis vertikaluri hidroizolacia</t>
  </si>
  <si>
    <t>kv.m.</t>
  </si>
  <si>
    <t>mon. r/b rigelebis mowyoba -0,25, +0,6 da +2,95 niS. r-1 (3c); r-2 (3c); r-3 (3c); rm-1 (6c)</t>
  </si>
  <si>
    <t>6.1.</t>
  </si>
  <si>
    <t>6.2.</t>
  </si>
  <si>
    <t>6.3.</t>
  </si>
  <si>
    <r>
      <rPr>
        <sz val="11"/>
        <rFont val="AcadNusx"/>
      </rPr>
      <t xml:space="preserve">ankeri </t>
    </r>
    <r>
      <rPr>
        <sz val="11"/>
        <rFont val="Calibri"/>
        <family val="2"/>
        <charset val="204"/>
      </rPr>
      <t>D16</t>
    </r>
    <r>
      <rPr>
        <sz val="11"/>
        <rFont val="AcadNusx"/>
      </rPr>
      <t xml:space="preserve"> </t>
    </r>
  </si>
  <si>
    <r>
      <t>mon. r/b gadaxurvis konstrucia -0,25 da +0,60 niS. betoni ~</t>
    </r>
    <r>
      <rPr>
        <sz val="11"/>
        <rFont val="Calibri"/>
        <family val="2"/>
        <charset val="204"/>
        <scheme val="minor"/>
      </rPr>
      <t>В20</t>
    </r>
    <r>
      <rPr>
        <sz val="11"/>
        <rFont val="AcadNusx"/>
      </rPr>
      <t>~ ~</t>
    </r>
    <r>
      <rPr>
        <sz val="11"/>
        <rFont val="Calibri"/>
        <family val="2"/>
        <charset val="204"/>
        <scheme val="minor"/>
      </rPr>
      <t>W8</t>
    </r>
    <r>
      <rPr>
        <sz val="11"/>
        <rFont val="AcadNusx"/>
      </rPr>
      <t>~</t>
    </r>
  </si>
  <si>
    <t>7.1.</t>
  </si>
  <si>
    <t>7.2.</t>
  </si>
  <si>
    <r>
      <t>mon. r/b gadaxurvis konstrucia  +2,97 niS. betoni ~</t>
    </r>
    <r>
      <rPr>
        <sz val="11"/>
        <rFont val="Calibri"/>
        <family val="2"/>
        <charset val="204"/>
        <scheme val="minor"/>
      </rPr>
      <t>В20</t>
    </r>
    <r>
      <rPr>
        <sz val="11"/>
        <rFont val="AcadNusx"/>
      </rPr>
      <t>~ ~</t>
    </r>
    <r>
      <rPr>
        <sz val="11"/>
        <rFont val="Calibri"/>
        <family val="2"/>
        <charset val="204"/>
        <scheme val="minor"/>
      </rPr>
      <t>W8</t>
    </r>
    <r>
      <rPr>
        <sz val="11"/>
        <rFont val="AcadNusx"/>
      </rPr>
      <t>~</t>
    </r>
  </si>
  <si>
    <t>8.1.</t>
  </si>
  <si>
    <t>8.2.</t>
  </si>
  <si>
    <r>
      <t xml:space="preserve">liTonis Spuntrbis mowyoba -0,45 niS. </t>
    </r>
    <r>
      <rPr>
        <sz val="11"/>
        <rFont val="Calibri"/>
        <family val="2"/>
        <charset val="204"/>
        <scheme val="minor"/>
      </rPr>
      <t xml:space="preserve">CBC 159/550 </t>
    </r>
    <r>
      <rPr>
        <sz val="11"/>
        <rFont val="AcadNusx"/>
      </rPr>
      <t xml:space="preserve">LlS-1 (142c); ST-1 </t>
    </r>
    <r>
      <rPr>
        <sz val="11"/>
        <rFont val="Calibri"/>
        <family val="2"/>
        <charset val="204"/>
        <scheme val="minor"/>
      </rPr>
      <t xml:space="preserve">OC 250X250  </t>
    </r>
    <r>
      <rPr>
        <sz val="11"/>
        <rFont val="AcadNusx"/>
      </rPr>
      <t>(142c)</t>
    </r>
  </si>
  <si>
    <t>liT. koWebis da gadabmis kvanZebis mowyoba -0,25 niSnulze</t>
  </si>
  <si>
    <t>liTonis vertikaluri kavSirebis mowyoba -0,25 niSulze</t>
  </si>
  <si>
    <t xml:space="preserve">liTonis elementebis SeRebava antikoroziuli laqiT </t>
  </si>
  <si>
    <t>liTonis elementebis dagruntva</t>
  </si>
  <si>
    <t>liTonis elementebis SeRebava emalis saRebaviT 2-jer</t>
  </si>
  <si>
    <t>xis svetebis mowyoba -0,25 niS. (xis masalis antiseptirebiT)</t>
  </si>
  <si>
    <t>xis koWebis mowyoba Seficvris CaTvliT -0,05 niS. (xis masalis antiseptirebiT)</t>
  </si>
  <si>
    <t>xis koWebis mowyoba +2,95 niS. (xis masalis antiseptirebiT)</t>
  </si>
  <si>
    <t>xis masalis cecxldacva</t>
  </si>
  <si>
    <r>
      <t xml:space="preserve">liTonis kvanZebis mowyoba </t>
    </r>
    <r>
      <rPr>
        <sz val="11"/>
        <rFont val="Calibri"/>
        <family val="2"/>
        <charset val="204"/>
        <scheme val="minor"/>
      </rPr>
      <t xml:space="preserve">A, B, C, D, E, F, G </t>
    </r>
    <r>
      <rPr>
        <sz val="11"/>
        <rFont val="AcadNusx"/>
      </rPr>
      <t>da</t>
    </r>
    <r>
      <rPr>
        <sz val="11"/>
        <rFont val="Calibri"/>
        <family val="2"/>
        <charset val="204"/>
        <scheme val="minor"/>
      </rPr>
      <t xml:space="preserve"> H</t>
    </r>
  </si>
  <si>
    <t>19.1.</t>
  </si>
  <si>
    <r>
      <rPr>
        <sz val="11"/>
        <rFont val="AcadNusx"/>
      </rPr>
      <t>WanWili</t>
    </r>
    <r>
      <rPr>
        <sz val="11"/>
        <rFont val="Calibri"/>
        <family val="2"/>
        <charset val="204"/>
        <scheme val="minor"/>
      </rPr>
      <t xml:space="preserve"> </t>
    </r>
    <r>
      <rPr>
        <sz val="11"/>
        <rFont val="Calibri"/>
        <family val="2"/>
        <charset val="204"/>
      </rPr>
      <t>Ø12 L=240</t>
    </r>
    <r>
      <rPr>
        <sz val="11"/>
        <rFont val="AcadNusx"/>
      </rPr>
      <t xml:space="preserve"> </t>
    </r>
  </si>
  <si>
    <t>19.2.</t>
  </si>
  <si>
    <r>
      <rPr>
        <sz val="11"/>
        <rFont val="AcadNusx"/>
      </rPr>
      <t>WanWili</t>
    </r>
    <r>
      <rPr>
        <sz val="11"/>
        <rFont val="Calibri"/>
        <family val="2"/>
        <charset val="204"/>
        <scheme val="minor"/>
      </rPr>
      <t xml:space="preserve"> </t>
    </r>
    <r>
      <rPr>
        <sz val="11"/>
        <rFont val="Calibri"/>
        <family val="2"/>
        <charset val="204"/>
      </rPr>
      <t>Ø12 L=140</t>
    </r>
    <r>
      <rPr>
        <sz val="11"/>
        <rFont val="AcadNusx"/>
      </rPr>
      <t xml:space="preserve"> </t>
    </r>
  </si>
  <si>
    <t>gare perimetris kedlebis mowyoba</t>
  </si>
  <si>
    <t>xis dgarebis da Semkravebis mowyoba 50X200mm. (xis masalis antiseptirebiT)</t>
  </si>
  <si>
    <t xml:space="preserve">fasadis mxridan Seficvris mowyoba magari jiSis xis garanduli ficriT sisq. 25mm. antiseptirebuli da antiperirebuli </t>
  </si>
  <si>
    <t>magari jSis xis garanduli ficari 25mm. antiseptirebuli da antiperirebuli</t>
  </si>
  <si>
    <t>qaris sawinaaRmdego membranis mowyoba</t>
  </si>
  <si>
    <t>kv.m</t>
  </si>
  <si>
    <t>Tboizolaciis mowyoba qvabambiT sisq. 200mm. (araaalebadi)</t>
  </si>
  <si>
    <t>orTqlsaizolacio membranis mowyoba</t>
  </si>
  <si>
    <t xml:space="preserve">interieris mxridan Seficvris mowyoba magari jiSis xis garanduli ficriT sisq. 25mm .antiseptirebuli da antiperirebuli </t>
  </si>
  <si>
    <t>interieris mxridan nestgamZle TabaSirmuyaos gakvra (sv. wert.)</t>
  </si>
  <si>
    <t>qvis wyoba</t>
  </si>
  <si>
    <t>kedlebis wyoba riyis qviT</t>
  </si>
  <si>
    <t>tixrebi</t>
  </si>
  <si>
    <t xml:space="preserve">sageneratoros blokis tixrebis mowyoba sisq. 10sm. </t>
  </si>
  <si>
    <t>xis tixrebis Seficvris qveS, orive mxridan orTqlsaizolacio membranis mowyoba</t>
  </si>
  <si>
    <t>magari jiSis xis masalis tixrebis mowyoba, antiseptirebuli da antiperirebuli, qvabambis (araaalebadi sisq. 100mm.) daTbunebiT</t>
  </si>
  <si>
    <t>3.1.</t>
  </si>
  <si>
    <t>magari jiSis xis Zeli  50X100mm. antiseptirebuli da antiperirebuli (Semkravebis CaTvliT)</t>
  </si>
  <si>
    <t>narCenebis oTaxis magari jiSis xis masalis tixrebis mowyoba, (sisq. 20sm.) antiseptirebuli da antiperirebuli, qvabambis (araaalebadi sisq. 100mm.) daTbunebiT</t>
  </si>
  <si>
    <t>magari jiSis xis Zeli  50X200mm. antiseptirebuli da antiperirebuli (Semkravebis CaTvliT)</t>
  </si>
  <si>
    <t>sveli wertilebis perimetrze xis erTmagi tixrebis mowyoba magari jiSis xis masaliT, antiseptirebuli da antiperirebuli</t>
  </si>
  <si>
    <t>5.1.</t>
  </si>
  <si>
    <t>xis erTmag tixrebze sv. wertilebis  mxridan nestgamZle TabaSirmuyaos gakvra 100mm. sisqis qvabambis daTbunebiT (sv. wert.)</t>
  </si>
  <si>
    <t xml:space="preserve"> kar-fanjara</t>
  </si>
  <si>
    <t>fanjrebis mowyoba magari jiSis xis masaliT antiseptirebuli da antiperirebuli</t>
  </si>
  <si>
    <t>fanjris darabebis mowyoba magari jiSis xis masaliT, antiseptirebuli da antiperirebuli</t>
  </si>
  <si>
    <t xml:space="preserve">magari jiSis gare, xis yru karebis mowyoba, antiseptikirebuli da antiperirebuli, rkinakaveuliT </t>
  </si>
  <si>
    <t xml:space="preserve">magari jiSis Siga, xis yru karebis mowyoba, antiseptikirebuli da antiperirebuli, rkinakaveuliT </t>
  </si>
  <si>
    <t xml:space="preserve">liTonis  cxauris mowyoba              </t>
  </si>
  <si>
    <t>liTonis cxauris dafarva antikoroziuli gruntiT</t>
  </si>
  <si>
    <t xml:space="preserve"> liTonis cxauris SeRebva zeTovani saRebaviT</t>
  </si>
  <si>
    <t xml:space="preserve">fanjrebze feradi Tunuqis sawveTurebis mowyoba </t>
  </si>
  <si>
    <t>iatakebi</t>
  </si>
  <si>
    <t xml:space="preserve">orTqlsaizolacio membranis mowyoba </t>
  </si>
  <si>
    <t>iatakis Tboizolacia qvabambiT sisq. 100mm.</t>
  </si>
  <si>
    <r>
      <t xml:space="preserve"> nestgamZle </t>
    </r>
    <r>
      <rPr>
        <sz val="11"/>
        <rFont val="Calibri"/>
        <family val="2"/>
        <charset val="204"/>
        <scheme val="minor"/>
      </rPr>
      <t>OSB</t>
    </r>
    <r>
      <rPr>
        <sz val="11"/>
        <rFont val="AcadNusx"/>
      </rPr>
      <t xml:space="preserve"> filis mowyoba sisq. 18mm.</t>
    </r>
  </si>
  <si>
    <t xml:space="preserve">sveli wertilebis iatakze  keramikuli filebis dageba </t>
  </si>
  <si>
    <t>magari jiSis xis iatakis mowyoba sisqiT 40mm damuSavebuli zedapiriT antiseptirebuli da antiperirebuli</t>
  </si>
  <si>
    <t xml:space="preserve">sageneratoros da rezervuaris iatakze qv/cementis xsnaris moWimva sisq. 50mm </t>
  </si>
  <si>
    <t>saxuravi</t>
  </si>
  <si>
    <t>saxuravis orTqlizolacia</t>
  </si>
  <si>
    <r>
      <t xml:space="preserve">saxuravis daTbuneba </t>
    </r>
    <r>
      <rPr>
        <sz val="11"/>
        <rFont val="Calibri"/>
        <family val="2"/>
        <charset val="204"/>
        <scheme val="minor"/>
      </rPr>
      <t>XPS</t>
    </r>
    <r>
      <rPr>
        <sz val="11"/>
        <rFont val="AcadNusx"/>
      </rPr>
      <t>-iT sisq. 100mm.</t>
    </r>
  </si>
  <si>
    <r>
      <t xml:space="preserve">nestgamZle </t>
    </r>
    <r>
      <rPr>
        <sz val="11"/>
        <rFont val="Calibri"/>
        <family val="2"/>
        <charset val="204"/>
        <scheme val="minor"/>
      </rPr>
      <t>OSB</t>
    </r>
    <r>
      <rPr>
        <sz val="11"/>
        <rFont val="AcadNusx"/>
      </rPr>
      <t xml:space="preserve"> filis mowyoba sisq. 18mm.</t>
    </r>
  </si>
  <si>
    <t xml:space="preserve">ori fena linokromis mowyoba </t>
  </si>
  <si>
    <t xml:space="preserve">sadrenaJo membranis mowyoba </t>
  </si>
  <si>
    <t>geoteqstilis mowyoba</t>
  </si>
  <si>
    <t xml:space="preserve"> RorRis fenis mowyoba</t>
  </si>
  <si>
    <t>saxuravis mowyoba fiqalis qviT</t>
  </si>
  <si>
    <t>interieris samuSaoebi</t>
  </si>
  <si>
    <t>saZineblis betonis kedlebis Tboizolaciis mowyoba (sami mxridan) qvabambiT sisq. 100mm. (araaalebadi)</t>
  </si>
  <si>
    <t xml:space="preserve">betonis kedlebis Seficvris mowyoba magari jiSis xis garanduli ficriT antiseptirebuli da antiperirebuli </t>
  </si>
  <si>
    <t>kedlebis mopirkeTeba keramikuli filebiT svel wert.</t>
  </si>
  <si>
    <t>blokis tixrebis lesva qv/cementis xsnariT (sageneratoro)</t>
  </si>
  <si>
    <t>Weris Tboizolaciis mowyoba qvabambiT sisq. 100mm. (araaalebadi)</t>
  </si>
  <si>
    <t>nestgamZle TabaSirmuyaos Sekiduli Weris mowyoba svel wert.</t>
  </si>
  <si>
    <t>TabaSirmuyaos Weris SefiTxvna da SeRebva wyalemulsiuri saRebaviT</t>
  </si>
  <si>
    <t>xis Weris mowyoba magari jiSis xis masaliT, antiseptirebuli da antiperirebuli</t>
  </si>
  <si>
    <t>terasa</t>
  </si>
  <si>
    <t>terasis xis Weris mowyoba magari jiSis xis masaliT, antiseptirebuli da antiperirebuli</t>
  </si>
  <si>
    <t>terasis moajiris mowyoba magari jiSis xis masaliT, antiseptirebuli da antiperirebuli</t>
  </si>
  <si>
    <t>grZ.m.</t>
  </si>
  <si>
    <t>terasis xis kibeebis mowyoba magari jiSis xis masaliT, antiseptirebuli da antiperirebuli</t>
  </si>
  <si>
    <t>qvis kibeebi</t>
  </si>
  <si>
    <t>kibis qvis safexurebis mowyoba</t>
  </si>
  <si>
    <t>metri</t>
  </si>
  <si>
    <t>adgilobrivi qvis safexurebi 1.4m.</t>
  </si>
  <si>
    <t xml:space="preserve">vertmfrenis momsaxureoba (simaRle 2600m, rotaciis rodenoba 253, distancia bazamde 5km, safreni dro 2055wT, mobilizaciis CaTvliT </t>
  </si>
  <si>
    <t>m/sT</t>
  </si>
  <si>
    <t>SeniSvna: erTeulis RirebulebisSi Seidis satransporto xarjebi masalaze bazamde avtoTviTmcleliT da nawilobriv cxeniT obieqtamde.</t>
  </si>
  <si>
    <t>lokaluri xarjTaRricxva #1-2</t>
  </si>
  <si>
    <t xml:space="preserve">samuSaoebis  dasaxeleba </t>
  </si>
  <si>
    <t>ganzომილება</t>
  </si>
  <si>
    <t>jami lari</t>
  </si>
  <si>
    <t xml:space="preserve">fasadis mxridan Seficvris mowyoba magari jiSis xis garanduli ficriT antiseptirebuli da antiperirebuli </t>
  </si>
  <si>
    <t>magari jSis xis garanduli ficari 30mm. antiseptirebuli da antiperirebuli</t>
  </si>
  <si>
    <t xml:space="preserve">interieris mxridan Seficvris mowyoba magari jiSis xis garanduli ficriT 30mm. antiseptirebuli da antiperirebuli </t>
  </si>
  <si>
    <t>magari jSis xis garanduli ficari  antiseptirebuli da antiperirebuli</t>
  </si>
  <si>
    <t xml:space="preserve">magari jiSis xis  yru karis mowyoba, antiseptikirebuli da antiperirebuli, rkinakaveuliT </t>
  </si>
  <si>
    <t>magari jiSis xis koWebis da svetebis mowyoba antiseptirebuli da antuperirebuli</t>
  </si>
  <si>
    <t>saxuravis Seficvris mowyoba sisq. 40mm. Antiseptirebuli da antiperirebuli</t>
  </si>
  <si>
    <r>
      <t xml:space="preserve">saxuravis hidroizolacia orSriani </t>
    </r>
    <r>
      <rPr>
        <sz val="11"/>
        <rFont val="Calibri"/>
        <family val="2"/>
        <charset val="204"/>
        <scheme val="minor"/>
      </rPr>
      <t>PVC</t>
    </r>
    <r>
      <rPr>
        <sz val="11"/>
        <rFont val="AcadNusx"/>
      </rPr>
      <t xml:space="preserve"> membraniT</t>
    </r>
  </si>
  <si>
    <t>saxuravis safaris mowyoba yavariT</t>
  </si>
  <si>
    <t xml:space="preserve"> jami</t>
  </si>
  <si>
    <t>(obieqtis dasaxeleba)</t>
  </si>
  <si>
    <t>lokaluri xarjTaRricxva #1-3</t>
  </si>
  <si>
    <t>თუჯის ხის დაწვის ღუმელი 11,9 კვტ რეიტინგული თბოელექტრონული შეყვანით, წინა და გვერდითი ჩამტვირთავი კარი, მაღალი თერმული მოსავლიანობა თუჯით, კერა თუჯში შემდგომი წვის სისტემით, კერამიკული მინა მდგრადია 750 ° -მდე. საათობრივი მოხმარება 3,2 კგ/სთ. სეზონური სივრცის გათბობის ენერგოეფექტურობა 72% (ECODESIGN 2022). კვამლის გამოსასვლელი დიამეტრი 150 მმ s/p. ზომები (W-H-D) 790x775x660 მმ</t>
  </si>
  <si>
    <t>set</t>
  </si>
  <si>
    <t>CHIMNEY კომპლექტი, უჟანგავი ფოლადი, 0,6 მმ (მილები 1 მ D150 - 5 ცალი, ჩაის D150 87 ° - 1 ცალი., სარწყავი ქილა D150 - 1 ცალი, სოკო D150 - 1 ცალი, ფრჩხილი D150 - 4 ცალი., მუხლი D150 45 ° - 2 ცალი.)</t>
  </si>
  <si>
    <t>Set</t>
  </si>
  <si>
    <t>ბულერჯანის ღუმელი თავისუფალი ნაკადის ტიპი ღუმელით, 6 კვტ რეიტინგული თერმული შეყვანა, წინა ჩამტვირთავი კარი, მინა ROBAX, დამცავი საფარი პერფორაციით. ენერგოეფექტურობა 75%. კვამლის გამოსასვლელი დიამეტრი 120 მმ/წმ. ზომები (W-H-D) 680x500x695 მმ</t>
  </si>
  <si>
    <t>PEDESTAL WAL, 70 x 66 x 36 სმ (დაახ., დღე/ღამე)</t>
  </si>
  <si>
    <t>CHIMNEY კომპლექტი, უჟანგავი ფოლადი, 0,6 მმ (მილები 1 მ D120 - 5 ცალი, ჩაის D120 87 ° - 1 ცალი., სარწყავი ქილა D120 - 1 ცალი, სოკო D120 - 1 ცალი, ფრჩხილი D120 - 4 ცალი., მუხლი D120 45 ° - 2 ცალი.)</t>
  </si>
  <si>
    <t>ლითონის დამცავი ფირფიტა 1250x2500x1 მმ</t>
  </si>
  <si>
    <t>pcs</t>
  </si>
  <si>
    <t>7</t>
  </si>
  <si>
    <t>სამონტაჟო მასალები</t>
  </si>
  <si>
    <t>montaJois samuSaoebi</t>
  </si>
  <si>
    <t>lokaluri xarjTaRricxva #1-4</t>
  </si>
  <si>
    <t>მილის ტიპის ვენტილატორი პლასტმასის გარსში ჰაერის მაქსიმალური სიმძლავრით 340 მ 3 / სთ და ტემპერატურა დიაპაზონში -25 ° C- დან + 60 ° C- მდე, EC -DC ძრავა გარე როტორით, ზუსტი სიჩქარის კონტროლი დიაპაზონში 0 დან 100%-მდე, d100 მმ დამაკავშირებელი მილი</t>
  </si>
  <si>
    <t>გულშემატკივართა სიჩქარის კონტროლერი გულშემატკივართათვის EC ძრავით</t>
  </si>
  <si>
    <t>პლასტიკური სადინარი, დ 100 მმ, სიგრძე 0.5 მ, თეთრი</t>
  </si>
  <si>
    <t>პლასტიკური ჰაერის მილების კონექტორი, d 100 მმ</t>
  </si>
  <si>
    <t>კონექტორი კედლის ფირფიტით მრგვალი არხებისთვის d 100 მმ</t>
  </si>
  <si>
    <t>კედლის დასაყენებლად გამოსაბოლქვი გამწოვი mm 100 მმ, დასაბრუნებელი სარქველით, რომელიც დამონტაჟებულია გარე კედელზე სავენტილაციო ხვრელზე და უკავშირდება გამონაბოლქვი ჰაერის სადინარს 100 მმ დიამეტრით</t>
  </si>
  <si>
    <t>დამჭერი მრგვალი არხებისთვის d100</t>
  </si>
  <si>
    <t>8</t>
  </si>
  <si>
    <t>იდაყვი მრგვალი არხებისთვის d100</t>
  </si>
  <si>
    <t>9</t>
  </si>
  <si>
    <t>ჩაი მრგვალი არხებისთვის d100</t>
  </si>
  <si>
    <t>10</t>
  </si>
  <si>
    <t>პლასტიკური დიფუზორი 100 მმ მრგვალ საჰაერო სადინარებთან დასაკავშირებლად, სამონტაჟო ინტერფეისებით და სამონტაჟო ფლანგებით</t>
  </si>
  <si>
    <t>11</t>
  </si>
  <si>
    <t>მრგვალი სადინარის კონექტორი d100 გრავიტაციული ამორტიზატორით</t>
  </si>
  <si>
    <t>12</t>
  </si>
  <si>
    <t>კედლის დამონტაჟების ავტომატური ჰაერის მიწოდება. თერმოსტატული სარქვლის ნაკრები, კედლის გაფართოებადი კედლის ცვლადი სისქისთვის, ინტეგრირებული ჰაერის ფილტრის ვაზნის კლასი G 3 და ფიქსირებული გარე ცხაური. ყველა ნაწილი დამზადებულია ზემოქმედების მდგრადი პლასტმასისგან, თეთრი. ჩამონტაჟებული ტემპერატურის სენსორი არეგულირებს სარქველის დისკის უფსკრული გარე ტემპერატურაზე –6 გრადუსი C– დან +20 გრადუსამდე დიაპაზონში. სარქველის დისკის შიგნითა ნაწილი დაფარულია საიზოლაციო საფარით კონდენსაციის თავიდან ასაცილებლად. ფილტრის ჩასმა ადვილად ცვალებადია მოსახსნელი სარქვლის ფირფიტის წყალობით, გააჩერეთ ძირითადი ვენტილაციისთვის და მინიმალური მოცულობისთვის. ცვლადი მოცულობის ნაკადის პარამეტრი ფირფიტის რეგულირების გზით. DIN 1946-ის თანახმად, ნაწილი 6. ხმის შემცირების საშუალო ინდექსი 30-35 დბ.</t>
  </si>
  <si>
    <t>13</t>
  </si>
  <si>
    <t>14</t>
  </si>
  <si>
    <t>გარე ლითონის ცხაური ელექტრული ძრავით ჰაერის მიწოდება genset 900x900 თბოიზოლაციით 20 მმ ლამელაზე, 230V ძრავა 3 პოზიციით (დახურვა/დაცვა ატმოსფერული ნალექებისგან/ღია)</t>
  </si>
  <si>
    <t>15</t>
  </si>
  <si>
    <t>16</t>
  </si>
  <si>
    <t>კომპლექტი გენერატორის გამონაბოლქვი სისტემისთვის (კედლის გადასასვლელი (თერმული კომპენსატორი) 400 მმ, უნივერსალური სამაგრი ადაპტერი 25-33 მმ; გალვანზირებული ნაგლინი ლითონის შლანგი d40 (2 მეტრი შედის); დამჭერი უჟანგავი ფოლადის ადაპტერისთვის; თბოიზოლაცია 48 * 30 მმ)</t>
  </si>
  <si>
    <t>samontaJo samuSaoebi</t>
  </si>
  <si>
    <t>lokaluri xarjTaRricxva #1-5</t>
  </si>
  <si>
    <t>kldovni gruntis damuSaveba tranSeaSi</t>
  </si>
  <si>
    <r>
      <t>m</t>
    </r>
    <r>
      <rPr>
        <sz val="10"/>
        <rFont val="Calibri"/>
        <family val="2"/>
        <charset val="204"/>
        <scheme val="minor"/>
      </rPr>
      <t>³</t>
    </r>
  </si>
  <si>
    <t>runtis ukn Caura xeliT</t>
  </si>
  <si>
    <r>
      <t>მ</t>
    </r>
    <r>
      <rPr>
        <sz val="10"/>
        <rFont val="Calibri"/>
        <family val="2"/>
        <charset val="204"/>
      </rPr>
      <t>³</t>
    </r>
  </si>
  <si>
    <t>zedmeti gruntis datvirTva da gadmotvirTva urikebidan gadaadgileba 200m-ze da gaSla teritoriaze</t>
  </si>
  <si>
    <t>მ³</t>
  </si>
  <si>
    <t>ცივი წყლის მილი (შემომსვლელი)40 მ.მ.</t>
  </si>
  <si>
    <t>მ</t>
  </si>
  <si>
    <t>ცივი წყლის მილი 32</t>
  </si>
  <si>
    <t>ცივი წყლის მილი 25</t>
  </si>
  <si>
    <t>ცივი წყლის მილი 20</t>
  </si>
  <si>
    <t xml:space="preserve">ცივი წყლის გამანაწილიბელი (რვიანი) </t>
  </si>
  <si>
    <t>ცივი წყლის მილის სამაგრები 25</t>
  </si>
  <si>
    <t>ცივი წყლის მილის სამაგრები 20</t>
  </si>
  <si>
    <t>ცივი წყლის მილის თერმოიზოლაცია 32</t>
  </si>
  <si>
    <t>ცივი წყლის მილის თერმოიზოლაცია 25</t>
  </si>
  <si>
    <t>ცივი წყლის მილის თერმოიზოლაცია 20</t>
  </si>
  <si>
    <t>ცხელი წყლის მილი 25</t>
  </si>
  <si>
    <t>ცხელი წყლის მილი 20</t>
  </si>
  <si>
    <t>ცხელი წყლის გამანაწილებელი (ექვსიანი)</t>
  </si>
  <si>
    <t>ცხელი წყლის მილის სამაგრები 25</t>
  </si>
  <si>
    <t>ცხელი წყლის მილის სამაგრები 20</t>
  </si>
  <si>
    <t>ცხელი წყლის მილის თერმოიზოლაცია 25</t>
  </si>
  <si>
    <t>ცხელი წყლის მილის თერმოიზოლაცია  20</t>
  </si>
  <si>
    <t>ონკანი ბურთულიანი 40</t>
  </si>
  <si>
    <t>კუთხე წ 40</t>
  </si>
  <si>
    <t>კუთხე წ 32</t>
  </si>
  <si>
    <t>კუთხე წ 25</t>
  </si>
  <si>
    <t>კუთხე წ 20</t>
  </si>
  <si>
    <t>ქურო წ  40</t>
  </si>
  <si>
    <t>ქურო წ 32</t>
  </si>
  <si>
    <t>ქურო წ 25</t>
  </si>
  <si>
    <t>ქურო წ 20</t>
  </si>
  <si>
    <t>სამკაფი წ 40</t>
  </si>
  <si>
    <t>სამკაფი წ 32</t>
  </si>
  <si>
    <t>სამკაფი წ 25/20/25</t>
  </si>
  <si>
    <t>სამკაფი წ 25/25/25</t>
  </si>
  <si>
    <t>სამკაფი წ 20</t>
  </si>
  <si>
    <t>გადამყვანი ზომებზე წ 40/32</t>
  </si>
  <si>
    <t>გადამყვანი ზომებზე წ 32/25</t>
  </si>
  <si>
    <t>გადამყვანი ზომებზე წ 25/20</t>
  </si>
  <si>
    <t>კანალიზაციის მილი გარე (წითელი) 110</t>
  </si>
  <si>
    <t>კანალიზაციის მილი 110</t>
  </si>
  <si>
    <t>კანალიზაციის მილი 50</t>
  </si>
  <si>
    <t>კანალიზაციის მილის სამაგრი 110</t>
  </si>
  <si>
    <t>კანალიზაციის მილის სამაგრი 50</t>
  </si>
  <si>
    <t>კანალიზაციის სავენტელაციო მილი (fan kanal) 110</t>
  </si>
  <si>
    <t>კანალიზაციის მილის თერმოიზოლაცია 110</t>
  </si>
  <si>
    <t>კანალიზაციის მილის თერმოიზოლაცია 50</t>
  </si>
  <si>
    <t xml:space="preserve"> კუთხე  კან. 110</t>
  </si>
  <si>
    <t xml:space="preserve"> კუთხე  კან. 50</t>
  </si>
  <si>
    <r>
      <t xml:space="preserve"> კუთხე  კან. 45</t>
    </r>
    <r>
      <rPr>
        <sz val="10"/>
        <rFont val="Calibri"/>
        <family val="2"/>
        <charset val="204"/>
      </rPr>
      <t>°</t>
    </r>
    <r>
      <rPr>
        <sz val="10"/>
        <rFont val="Calibri"/>
        <family val="2"/>
        <charset val="204"/>
        <scheme val="minor"/>
      </rPr>
      <t xml:space="preserve"> 110</t>
    </r>
  </si>
  <si>
    <t>რევიზია 50</t>
  </si>
  <si>
    <t>გადამყვანი (ბუტილკა) 50/110</t>
  </si>
  <si>
    <t>სამკაფი კან. 45 გრად 110</t>
  </si>
  <si>
    <t>სამკაფი კან. 50</t>
  </si>
  <si>
    <t>სამკაფი კან. 110</t>
  </si>
  <si>
    <t>სადრენაჟე ტრაპი 110</t>
  </si>
  <si>
    <t>სადრენაჟე მილი  50</t>
  </si>
  <si>
    <t>სადრენაჟე მილი  110</t>
  </si>
  <si>
    <t>დრენ კუთხე   50</t>
  </si>
  <si>
    <t>დრენ კუთხე  45  50</t>
  </si>
  <si>
    <t>დრენ სამკაფი  110</t>
  </si>
  <si>
    <t>ზომაზე გადამყვანი დრენ 50/110</t>
  </si>
  <si>
    <t>გოფრირებული მილი სადრენაჟე ჭის  1000</t>
  </si>
  <si>
    <t xml:space="preserve">უნიტაზი </t>
  </si>
  <si>
    <t>უნიტაზის სანტექ კომპლექ</t>
  </si>
  <si>
    <t>კომპ</t>
  </si>
  <si>
    <t>უნიტაზის სამონტაჟე კომპლექტი</t>
  </si>
  <si>
    <t xml:space="preserve">ხელსაბანი </t>
  </si>
  <si>
    <t>ხელსაბანის  სანტექ კომპლექ</t>
  </si>
  <si>
    <t>ხელსაბანის  სამონტაჟე კომპლექ</t>
  </si>
  <si>
    <t xml:space="preserve">საშხაპე </t>
  </si>
  <si>
    <t xml:space="preserve">საშხაპე სამონტაჟე კომ </t>
  </si>
  <si>
    <t>საშხაპე სანტექ  კომ</t>
  </si>
  <si>
    <t>ხელსაბანის  შემრევი არმატურა</t>
  </si>
  <si>
    <t>ხელსაბანის სამონტაჟე კომპ.</t>
  </si>
  <si>
    <t>შხაპის შემრევი არმატურა</t>
  </si>
  <si>
    <t>შხაპის შემრევის სამონტაჟე კომ</t>
  </si>
  <si>
    <t>მზის კოლექტორი  HEWALEX</t>
  </si>
  <si>
    <t>ავტომატური მართვის მოწყობილობა</t>
  </si>
  <si>
    <t>ცხელი წყლის ავზი (მზის  კოლ.ირიბი ბოილერი)</t>
  </si>
  <si>
    <t>პროპილენგლიკოლი  30 ლიტ</t>
  </si>
  <si>
    <t>თბომატარებლის მილის ფიტინგი</t>
  </si>
  <si>
    <t>გამაფართოებელი ბაკი 50 ლიტ. 10 ბარ.</t>
  </si>
  <si>
    <t>კოლექტორის ჭერზე სამაგრი</t>
  </si>
  <si>
    <t>უჟანგავი ფოლადის გოფრემოლები DN20</t>
  </si>
  <si>
    <t>თბოგამცვლელტან დამაერთებელი ფიტინგები</t>
  </si>
  <si>
    <t>სეპტიკი</t>
  </si>
  <si>
    <t>სეპტიკის ადგილამდე ტრანსპორტირება, ინსტალ. გრუნტის სამუშ</t>
  </si>
  <si>
    <t>მომს</t>
  </si>
  <si>
    <t xml:space="preserve">გათბობის რადიატორი </t>
  </si>
  <si>
    <t>რადიატორის ფიტინგები კომ.</t>
  </si>
  <si>
    <t>რადიატორის სამონტაჟო კომ.</t>
  </si>
  <si>
    <t>წყლის პლასტმასის ავზი მოცულობა 2000 ლიტ</t>
  </si>
  <si>
    <t>ავზის ტივტივას ტიპის ელექტრო სარქველი  40</t>
  </si>
  <si>
    <t>ავზის ტივტივას ტიპის მექანიკური  სარქველი  40</t>
  </si>
  <si>
    <t>ავზიდან გამომსვლელი და შემსვლელი ფიტინგები კომ</t>
  </si>
  <si>
    <t>ფილტრი უხეში  40</t>
  </si>
  <si>
    <t>ფილტრი  რკინის ბადით  32</t>
  </si>
  <si>
    <t>ფილტრი  100 მიკრონიანი  32</t>
  </si>
  <si>
    <t>ელექტრო ტუმბო (ნასოსი)</t>
  </si>
  <si>
    <t>ნასოსის დამაერთებელი ფიტინგები კომ</t>
  </si>
  <si>
    <t>ჰიდროაკუმულატორი 40  (ლიტ)</t>
  </si>
  <si>
    <t>ჰიდ. აკუმულატ. დამაერთებელი ფიტინგები კომ</t>
  </si>
  <si>
    <t>ჰიდ. აკუმულატ.  სამონტაჟე კომ.</t>
  </si>
  <si>
    <t>ჩამკეტი ონკანები  32</t>
  </si>
  <si>
    <t>ჩამკეტი ონკანები</t>
  </si>
  <si>
    <t xml:space="preserve">ჰიდრო კვანძის უსაფრთხოების ბლოკი </t>
  </si>
  <si>
    <t>ნაკრები</t>
  </si>
  <si>
    <t>უსაფრ. ბლოკის დამაერთებელი ფიტინგების კომპ</t>
  </si>
  <si>
    <t>lokaluri xarjTaRricxva #1-6</t>
  </si>
  <si>
    <t>ვერტიკალური ღერძი ქარის ტურბინა 3 კვტ</t>
  </si>
  <si>
    <t>PV მზის პანელები 300W</t>
  </si>
  <si>
    <t>დამხმარე სტრუქტურები PV პანელებისთვის - ალუმინის ჩარჩოები, ფიქსირებული ხრახნიანი გროვებით ან გეო -ხრახნებით</t>
  </si>
  <si>
    <t>ქარის MPPT დატენვის კონტროლერი ნაგავსაყრელის დატვირთვის მოდულით</t>
  </si>
  <si>
    <t>მზის MPPT დატენვის კონტროლერი</t>
  </si>
  <si>
    <t>მზის პანელებისთვის მზის MC4 მავთულის კონექტორი (10 წყვილი)</t>
  </si>
  <si>
    <t>მზის MC4 ფილიალის კონექტორები მზის PV პანელებისთვის (მამაკაცი და ქალი)</t>
  </si>
  <si>
    <t>PV პანელებისთვის დამაკავშირებელი კაბელი, შავი</t>
  </si>
  <si>
    <t>m</t>
  </si>
  <si>
    <t>DC საკაბელო ხაზები PV/Wind ბრალდების კონტროლერებზე</t>
  </si>
  <si>
    <t>საკაბელო გამანაწილებელი ყუთი IP65 გარე UV</t>
  </si>
  <si>
    <t>GENSET 5KVA ელექტრული სტარტერით</t>
  </si>
  <si>
    <t>ავტომატური დაწყების სისტემა</t>
  </si>
  <si>
    <t>სუფთა სინუსური ტალღის სიმძლავრის ინვერტორი/დამტენი 3000W, DC48V/AC220V</t>
  </si>
  <si>
    <t>დენის სუფთა სინუსური ტალღის ინვერტორი 3000W DC 48V to AC200-240V</t>
  </si>
  <si>
    <t>თარო ბატარეებისთვის 30 ცალი x 100Ah, 12V (5 თარო 6 ბატარეით თითოეულ თაროზე)</t>
  </si>
  <si>
    <t>ბატარეა 100Ah, 12V</t>
  </si>
  <si>
    <t>kompl.</t>
  </si>
  <si>
    <t>lokaluri xarjTaRricxva #1-7</t>
  </si>
  <si>
    <t>მთავარი გამანაწილებელი დაფა MB</t>
  </si>
  <si>
    <t>HALOGEN-free RIGID WIRING PIPE ∅16 მმ ჭერის კაბელისთვის  1516EHF_FA</t>
  </si>
  <si>
    <t>საკაბელო და მილსადენების დასაბმელი ყუთი საკაბელო ყუთით (117x117x58) 8110_KA</t>
  </si>
  <si>
    <t>პლასტიკური პარაპეტი ტრაკინგი ჰალოგენის გარეშე 90X55  PK 90X55 D_HD</t>
  </si>
  <si>
    <t>QUADRO სოკეტის მოდული დამცავი კონტაქტებით (SCHUKO) 45X45, PARAPET TRUNKING SYSTEM MOUNTING QS 45X45_HB</t>
  </si>
  <si>
    <t>ხაზოვანი LED განათება წყალგაუმტარი IP65 40 სმ ცხელი 48V, T8 SMD LED ნათურები, 9W, გარემოს ტემპერატურა: -20C დან + 55C გრადუსამდე</t>
  </si>
  <si>
    <t>ხაზოვანი LED განათება წყალგაუმტარი IP65 120 სმ ცხელი 48V, T8 SMD LED ნათურები, 24W, გარემოს ტემპერატურა: -20C დან + 55C გრადუსამდე</t>
  </si>
  <si>
    <t>IP55 ზედაპირზე სამონტაჟო ყუთი 1 ბანდის გადამრთველით, წყლისა და მტვრის დამცავი საფარი გამჭვირვალე ელასტიური გარსით, რომელიც იძლევა გადამრთველის უშუალო კონტროლს.</t>
  </si>
  <si>
    <t>IP55 ზედაპირზე სამონტაჟო ყუთი 2 ბანდიანი გადამრთველით, წყლისა და მტვრის დამცავი საფარი გამჭვირვალე ელასტიური გარსით, რომელიც იძლევა გადამრთველის უშუალო კონტროლს.</t>
  </si>
  <si>
    <t>დენის კაბელი 1000 ვ, მრგვალი, შევსებული სპილენძის გამტარებს შორის ჰალოგენური ნარევით, XLPE იზოლაციით N2XH 3x2,5</t>
  </si>
  <si>
    <t>დენის კაბელი 1000 ვ, მრგვალი, შევსებული სპილენძის გამტარებს შორის ჰალოგენური ნარევით, XLPE იზოლაციით N2XH 2x0,75</t>
  </si>
  <si>
    <t>lokaluri xarjTaRricxva #1-8</t>
  </si>
  <si>
    <t xml:space="preserve">usafrTxoebisa da gadarCebis sistemebi </t>
  </si>
  <si>
    <t>4G/LTE ფიჭური WiFi ქსელის როუტერი (MiFi) SIM სლოტით</t>
  </si>
  <si>
    <t>კომპაქტური გუმბათი გარე უსაფრთხოების IP კამერა, 4 MP, 2.8 მმ ობიექტივი, SD ბარათის სლოტი</t>
  </si>
  <si>
    <t>Busch-Smoke სიგნალიზაციის დეტექტორი ProfessionalLINE მოციმციმე ხანძრებისა და ღია ცეცხლის ადრეული გამოვლენისათვის კვამლის დაგროვებით შენობაში. მუდმივად დამონტაჟებული ლითიუმის ბატარეა, მომსახურების ვადით მინიმუმ 10 წელი. ხმოვანი სიგნალი 85 dBA– ით 3 მ – ზე.</t>
  </si>
  <si>
    <t>კაბელი U/UTP 4x2 cat6</t>
  </si>
  <si>
    <t xml:space="preserve">დამიწების ელექტროდები, mm20 მმ, 2000 მმ
(სპილენძის ფოლადი) </t>
  </si>
  <si>
    <t>ფოლადის გალვანზირებული ზოლები, 50x5 მმ</t>
  </si>
  <si>
    <t>სამონტაჟო მასალა</t>
  </si>
  <si>
    <t>დაბრკოლების შუქი ЗОМ-1</t>
  </si>
  <si>
    <t>პროფესიონალური ამინდის სადგური  RST 01937</t>
  </si>
  <si>
    <t xml:space="preserve"> obieqturi saxarjTaRricxvo Rirebuleba  #2</t>
  </si>
  <si>
    <t>qoxi arxotis Tavze</t>
  </si>
  <si>
    <t>xarjTaRricxva #2-1</t>
  </si>
  <si>
    <t># რიგზე</t>
  </si>
  <si>
    <t>samuSaoების დასახელება</t>
  </si>
  <si>
    <t>kldovani gruntis damuSaveba VIIkat. momngrevi CaquCebiT</t>
  </si>
  <si>
    <r>
      <t>mon. r/b wertilovani saZirkvlebi  sZm-1 (30 cali), betoni ~</t>
    </r>
    <r>
      <rPr>
        <sz val="11"/>
        <rFont val="Calibri"/>
        <family val="2"/>
        <charset val="204"/>
        <scheme val="minor"/>
      </rPr>
      <t>B25</t>
    </r>
    <r>
      <rPr>
        <sz val="11"/>
        <rFont val="AcadNusx"/>
      </rPr>
      <t>~</t>
    </r>
  </si>
  <si>
    <t>Casatanebeli det. mowyoba Cd-1 (30 cali) -0,45 niS.</t>
  </si>
  <si>
    <t>liT. koWebis da gadabmis kvanZebis mowyoba -0,25 niS.</t>
  </si>
  <si>
    <t>xis svetebis mowyoba -0,25niS. (xis masalis antiseptirebiT)</t>
  </si>
  <si>
    <t>liTonis karkasis SeRebava emalis saRebaviT 2-jer</t>
  </si>
  <si>
    <t>xis koWebis mowyoba Seficvris CaTvliT +2,95 niS. (xis masalis antiseptirebiT)</t>
  </si>
  <si>
    <r>
      <t xml:space="preserve">liTonis kvanZebis mowyoba </t>
    </r>
    <r>
      <rPr>
        <sz val="11"/>
        <rFont val="Calibri"/>
        <family val="2"/>
        <charset val="204"/>
        <scheme val="minor"/>
      </rPr>
      <t xml:space="preserve">A, B, C, D, E, F </t>
    </r>
    <r>
      <rPr>
        <sz val="11"/>
        <rFont val="AcadNusx"/>
      </rPr>
      <t>da</t>
    </r>
    <r>
      <rPr>
        <sz val="11"/>
        <rFont val="Calibri"/>
        <family val="2"/>
        <charset val="204"/>
        <scheme val="minor"/>
      </rPr>
      <t xml:space="preserve"> G</t>
    </r>
  </si>
  <si>
    <t>Tboizolaciis mowyoba qvabambiT sisq. 150mm. (araaalebadi)</t>
  </si>
  <si>
    <t xml:space="preserve">interieris mxridan Seficvris mowyoba magari jiSis xis garanduli ficriT sisq. 25mm.antiseptirebuli da antiperirebuli </t>
  </si>
  <si>
    <t>tixrebis Seficvris qveS, orive mxridan orTqlsaizolacio membranis mowyoba</t>
  </si>
  <si>
    <t>nestgamZle TabaSirmuyaos ormagi tixris mowyoba (sveli wertilebis gamyofi tixari) qvabambis (100mm.) daTbunebiT</t>
  </si>
  <si>
    <t>aluminis fanjrebis  mowyoba</t>
  </si>
  <si>
    <t>aluminis Seminuli karebis  mowyoba</t>
  </si>
  <si>
    <t xml:space="preserve">magari jiSis xis  yru gare karebis mowyoba, antiseptikirebuli da antiperirebuli, rkinakaveuliT </t>
  </si>
  <si>
    <t xml:space="preserve">magari jiSis xis  yru Siga karebis mowyoba, antiseptikirebuli da antiperirebuli, rkinakaveuliT </t>
  </si>
  <si>
    <t>Weris Tboizolaciis mowyoba qvabambiT sisq. 250mm. (araaalebadi)</t>
  </si>
  <si>
    <t>terasis iatakis mowyoba magari jiSis xis masaliT sisqiT 40mm damuSavebuli zedapiriT antiseptirebuli da antiperirebuli</t>
  </si>
  <si>
    <t>terasis Weris Seficvra magari jiSis xis masaliT, antiseptirebuli da antiperirebuli</t>
  </si>
  <si>
    <t xml:space="preserve">vertmfrenis momsaxureoba (simaRle 3000m, rotaciis rodenoba 130, distancia bazamde 6km, safreni dro 1098wT,  mobilizaciis CaTvliT </t>
  </si>
  <si>
    <t>cxenebis sadgomi arxotis Tavze</t>
  </si>
  <si>
    <t>xarjTaRricxva #2-2</t>
  </si>
  <si>
    <r>
      <t xml:space="preserve">jami </t>
    </r>
    <r>
      <rPr>
        <b/>
        <sz val="10"/>
        <rFont val="AcadNusx"/>
      </rPr>
      <t>lari</t>
    </r>
  </si>
  <si>
    <t xml:space="preserve">interieris mxridan Seficvris mowyoba magari jiSis xis garanduli ficriT antiseptirebuli da antiperirebuli </t>
  </si>
  <si>
    <t>lokaluri xarjTaRricxva #2-3</t>
  </si>
  <si>
    <t xml:space="preserve">CHIMNEY კომპლექტი, უჟანგავი ფოლადი, 0,6 მმ (მილები 1 მ D150 - 5 ცალი, ჩაის D150 87 ° - 1 ცალი., სარწყავი ქილა D150 - 1 ცალი, სოკო D150 - 1 ცალი, ფრჩხილი D150 - 4 ცალი., მუხლი D150 45 ° - 2 ცალი.) D120 mm  </t>
  </si>
  <si>
    <t>CHIMNEY კომპლექტი, უჟანგავი ფოლადი, 0,6 მმ (მილები 1 მ D120 - 5 ცალი, ჩაის D120 87 ° - 1 ცალი., სარწყავი ქილა D120 - 1 ცალი, სოკო D120 - 1 ცალი, ფრჩხილი D120 - 4 ცალი., მუხლი D120 45 ° - 2 ცალი.) D120 mm</t>
  </si>
  <si>
    <t>lokaluri xarjTaRricxva #2-4</t>
  </si>
  <si>
    <t>გარე ლითონის ცხაური ელექტრული ძრავით ჰაერის მიწოდება genset 900x400 თბოიზოლაციით 20 მმ ლამელაზე, 230V ძრავა 3 პოზიციით (დახურვა/დაცვა ატმოსფერული ნალექებისგან/ღია)</t>
  </si>
  <si>
    <t>lokaluri xarjTaRricxva #2-5</t>
  </si>
  <si>
    <t xml:space="preserve">ცივი წყლის მილი (შემომსვლელი)40 მ.მ.  </t>
  </si>
  <si>
    <t xml:space="preserve">ცივი წყლის მილი 32 </t>
  </si>
  <si>
    <t xml:space="preserve">ცივი წყლის მილი 25  </t>
  </si>
  <si>
    <t xml:space="preserve">ცივი წყლის მილი 20  </t>
  </si>
  <si>
    <t xml:space="preserve">ცივი წყლის გამანაწილიბელი (რვიანი)   </t>
  </si>
  <si>
    <t xml:space="preserve">ცივი წყლის მილის სამაგრები 25  </t>
  </si>
  <si>
    <t xml:space="preserve">ცივი წყლის მილის სამაგრები 20   </t>
  </si>
  <si>
    <t xml:space="preserve">ცივი წყლის მილის თერმოიზოლაცია 32   </t>
  </si>
  <si>
    <t xml:space="preserve">ცივი წყლის მილის თერმოიზოლაცია 25  </t>
  </si>
  <si>
    <t xml:space="preserve">ცივი წყლის მილის თერმოიზოლაცია 20   </t>
  </si>
  <si>
    <t xml:space="preserve">ცხელი წყლის მილი 25   </t>
  </si>
  <si>
    <t xml:space="preserve">ცხელი წყლის მილი 20   </t>
  </si>
  <si>
    <t xml:space="preserve">ცხელი წყლის გამანაწილებელი (ექვსიანი)  </t>
  </si>
  <si>
    <t xml:space="preserve">ცხელი წყლის მილის სამაგრები 25   </t>
  </si>
  <si>
    <t xml:space="preserve">ცხელი წყლის მილის სამაგრები 20  </t>
  </si>
  <si>
    <t xml:space="preserve">ცხელი წყლის მილის თერმოიზოლაცია 25  </t>
  </si>
  <si>
    <t xml:space="preserve">ცხელი წყლის მილის თერმოიზოლაცია  20  </t>
  </si>
  <si>
    <t xml:space="preserve">ონკანი ბურთულიანი 40  </t>
  </si>
  <si>
    <t xml:space="preserve">კუთხე წ 40   </t>
  </si>
  <si>
    <t xml:space="preserve">კუთხე წ 32   </t>
  </si>
  <si>
    <t xml:space="preserve">კუთხე წ 25   </t>
  </si>
  <si>
    <t xml:space="preserve">კუთხე წ 20   </t>
  </si>
  <si>
    <t xml:space="preserve">ქურო წ  40   </t>
  </si>
  <si>
    <t xml:space="preserve">ქურო წ 32   </t>
  </si>
  <si>
    <t xml:space="preserve">ქურო წ 25 </t>
  </si>
  <si>
    <t xml:space="preserve">ქურო წ 20  </t>
  </si>
  <si>
    <t>კანალიზაციის მილი  110</t>
  </si>
  <si>
    <t xml:space="preserve"> კუთხე  კან. 45  110</t>
  </si>
  <si>
    <t>რევიზია  50</t>
  </si>
  <si>
    <t xml:space="preserve">გადამყვანი (ბუტილკა) 50/110 </t>
  </si>
  <si>
    <t xml:space="preserve">სამკაფი კან. 45 გრად  110 </t>
  </si>
  <si>
    <t xml:space="preserve">სამკაფი კან. 110  </t>
  </si>
  <si>
    <t xml:space="preserve">სამკაფი კან.  110  </t>
  </si>
  <si>
    <t>სადრენაჟე ტრაპი   110</t>
  </si>
  <si>
    <t>სადრენაჟე მილი 50</t>
  </si>
  <si>
    <t>სადრენაჟე მილი  100</t>
  </si>
  <si>
    <t>დრენ კუთხე  45   50</t>
  </si>
  <si>
    <t>გოფრირებული მილი სადრენაჟე ჭის  D1000</t>
  </si>
  <si>
    <t>ჩამკეტი ონკანები  25</t>
  </si>
  <si>
    <t>lokaluri xarjTaRricxva #2-6</t>
  </si>
  <si>
    <t>PV პანელებისთვის დამაკავშირებელი კაბელი, შავი  SOLARFLEX®-X PV1-F 1x6 mm2</t>
  </si>
  <si>
    <t>DC საკაბელო ხაზები PV/Wind ბრალდების კონტროლერებზე NYM-O 2x25 mm2</t>
  </si>
  <si>
    <t>lokaluri xarjTaRricxva #2-7</t>
  </si>
  <si>
    <t>მთავარი გამანაწილებელი დაფა</t>
  </si>
  <si>
    <t>HALOGEN-free RIGID WIRING PIPE ∅16 მმ ჭერის კაბელისთვის</t>
  </si>
  <si>
    <t>საკაბელო და მილსადენების დასაბმელი ყუთი საკაბელო ყუთით (117x117x58)</t>
  </si>
  <si>
    <t>პლასტიკური პარაპეტი ტრაკინგი ჰალოგენის გარეშე 90X55</t>
  </si>
  <si>
    <t>QUADRO სოკეტის მოდული დამცავი კონტაქტებით (SCHUKO) 45X45, PARAPET TRUNKING SYSTEM MOUNTING</t>
  </si>
  <si>
    <t>დენის კაბელი 1000 ვ, მრგვალი, შევსებული სპილენძის გამტარებს შორის ჰალოგენური ნარევით, XLPE იზოლაციით  N2XH 2x0,75</t>
  </si>
  <si>
    <t>lokaluri xarjTaRricxva #2-8</t>
  </si>
  <si>
    <t>დაბრკოლების შუქი</t>
  </si>
  <si>
    <t>პროფესიონალური ამინდის სადგური</t>
  </si>
  <si>
    <t xml:space="preserve"> obieqturi saxarjTaRricxvo Rirebuleba  #3</t>
  </si>
  <si>
    <t>qoxi daTvisjvarze</t>
  </si>
  <si>
    <t>lokaluri xarjTaRricxva #3-1</t>
  </si>
  <si>
    <t>samuშaoთa dasaxeleba</t>
  </si>
  <si>
    <t>konstuqciuli elementebi</t>
  </si>
  <si>
    <r>
      <t xml:space="preserve">liTonis Spuntrbis mowyoba -0,75 da -0,25 niS. </t>
    </r>
    <r>
      <rPr>
        <sz val="11"/>
        <rFont val="Calibri"/>
        <family val="2"/>
        <charset val="204"/>
        <scheme val="minor"/>
      </rPr>
      <t xml:space="preserve">CBC 159/550 </t>
    </r>
    <r>
      <rPr>
        <sz val="11"/>
        <rFont val="AcadNusx"/>
      </rPr>
      <t>LlS-1 (64c); lS-2 (71c);</t>
    </r>
    <r>
      <rPr>
        <sz val="11"/>
        <rFont val="Calibri"/>
        <family val="2"/>
        <charset val="204"/>
        <scheme val="minor"/>
      </rPr>
      <t xml:space="preserve"> OC 250X250</t>
    </r>
    <r>
      <rPr>
        <sz val="11"/>
        <rFont val="AcadNusx"/>
      </rPr>
      <t xml:space="preserve">  (135c)</t>
    </r>
  </si>
  <si>
    <t>liT. koWebis da gadabmis kvanZebis mowyoba -0,55; -0,05 da  +0,45 niSnulze</t>
  </si>
  <si>
    <t>liTonis vertikaluri kavSirebis mowyoba -0,55; -0,05 da +0,45 niSulze</t>
  </si>
  <si>
    <t>xis svetebis mowyoba -0,55; -0,05 da +0,45 niS. (xis masalis antiseptirebiT)</t>
  </si>
  <si>
    <t>xis koWebis mowyoba Seficvris CaTvliT -0,05 da +0,45 niS. (xis masalis antiseptirebiT)</t>
  </si>
  <si>
    <t>xis koWebis mowyoba +2,15 - +4,74 niS. Soris (xis masalis antiseptirebiT)</t>
  </si>
  <si>
    <t>liTonis elementi xis koWbTan +2,15 - +4,74 niS. Soris</t>
  </si>
  <si>
    <t>xis koWebis mowyoba +2,34 - +5,23 niS. Soris (xis masalis antiseptirebiT)</t>
  </si>
  <si>
    <r>
      <t xml:space="preserve">liTonis kvanZebis mowyoba </t>
    </r>
    <r>
      <rPr>
        <sz val="11"/>
        <rFont val="Calibri"/>
        <family val="2"/>
        <charset val="204"/>
        <scheme val="minor"/>
      </rPr>
      <t>A, B, C, D, E, F, G, H, I</t>
    </r>
    <r>
      <rPr>
        <sz val="11"/>
        <rFont val="AcadNusx"/>
      </rPr>
      <t xml:space="preserve"> da</t>
    </r>
    <r>
      <rPr>
        <sz val="11"/>
        <rFont val="Calibri"/>
        <family val="2"/>
        <charset val="204"/>
        <scheme val="minor"/>
      </rPr>
      <t xml:space="preserve"> K</t>
    </r>
  </si>
  <si>
    <t>13.1.</t>
  </si>
  <si>
    <t>13.2.</t>
  </si>
  <si>
    <t>magari jiSis xis masalis tixrebis mowyoba, antiseptirebuli da antiperirebuli, qvabambis (araaalebadi sisq.100mm.) daTbunebiT</t>
  </si>
  <si>
    <t>nestgamZle TabaSirmuyaos ormagi tixris mowyoba (svel wertilebis gamyofi tixari) qvabambis (100mm.) daTbunebiT</t>
  </si>
  <si>
    <t>aluminis vitraJebis  mowyoba</t>
  </si>
  <si>
    <t>minapaketiT Seminuli magari jiSis xis gare karebis mowyoba, antiseptirebuli da antiperirebuli, rkina-kaveuliT</t>
  </si>
  <si>
    <t>darabebis mowyoba magari jiSis xis masaliT, antiseptirebuli da antiperirebuli</t>
  </si>
  <si>
    <t xml:space="preserve">sageneratoros liTonis  karis mowyoba              </t>
  </si>
  <si>
    <t>liTonis karis dafarva antikoroziuli gruntiT</t>
  </si>
  <si>
    <t xml:space="preserve"> liTonis karis SeRebva zeTovani saRebaviT</t>
  </si>
  <si>
    <r>
      <t xml:space="preserve">saxuravis daTbuneba </t>
    </r>
    <r>
      <rPr>
        <sz val="11"/>
        <rFont val="Calibri"/>
        <family val="2"/>
        <charset val="204"/>
        <scheme val="minor"/>
      </rPr>
      <t>XPS</t>
    </r>
    <r>
      <rPr>
        <sz val="11"/>
        <rFont val="AcadNusx"/>
      </rPr>
      <t>-iT sisq. 150mm.</t>
    </r>
  </si>
  <si>
    <r>
      <t xml:space="preserve">hidrosaizolacio </t>
    </r>
    <r>
      <rPr>
        <sz val="11"/>
        <rFont val="Calibri"/>
        <family val="2"/>
        <charset val="204"/>
        <scheme val="minor"/>
      </rPr>
      <t>PVC</t>
    </r>
    <r>
      <rPr>
        <sz val="11"/>
        <rFont val="AcadNusx"/>
      </rPr>
      <t xml:space="preserve"> membranis mowyoba </t>
    </r>
  </si>
  <si>
    <t xml:space="preserve">kv.m. </t>
  </si>
  <si>
    <t>cxenebis sadgomi daTvisjvarze</t>
  </si>
  <si>
    <t>xarjTaRricxva #3-2</t>
  </si>
  <si>
    <t>N რიგზე</t>
  </si>
  <si>
    <t>lokaluri xarjTaRricxva #3-3</t>
  </si>
  <si>
    <t xml:space="preserve">CHIMNEY კომპლექტი, უჟანგავი ფოლადი, 0,6 მმ (მილები 1 მ D150 - 5 ცალი, ჩაის D150 87 ° - 1 ცალი., სარწყავი ქილა D150 - 1 ცალი, სოკო D150 - 1 ცალი, ფრჩხილი D150 - 4 ცალი., მუხლი D150 45 ° - 2 ცალი.) </t>
  </si>
  <si>
    <t>lokaluri xarjTaRricxva #3-4</t>
  </si>
  <si>
    <t>lokaluri xarjTaRricxva #3-5</t>
  </si>
  <si>
    <t xml:space="preserve"> კუთხე  კან. 45 110</t>
  </si>
  <si>
    <t>სადრენაჟე მილი 110</t>
  </si>
  <si>
    <t>დრენ კუთხე  50</t>
  </si>
  <si>
    <t>დრენ სამკაფი 110</t>
  </si>
  <si>
    <t>გოფრირებული მილი სადრენაჟე ჭის D1000</t>
  </si>
  <si>
    <t>ავზის ტივტივას ტიპის ელექტრო სარქველი 40</t>
  </si>
  <si>
    <t>ავზის ტივტივას ტიპის მექანიკური  სარქველი 40</t>
  </si>
  <si>
    <t>lokaluri xarjTaRricxva #3-6</t>
  </si>
  <si>
    <t>ქარის MPPT დატენვის კონტროლერი ნაგავსაყრელის დატვირთვის მოდულით  Dominator MPPT 200В</t>
  </si>
  <si>
    <t>მზის MPPT დატენვის კონტროლერი  SmartSolar 250/60-MC4</t>
  </si>
  <si>
    <t>PV პანელებისთვის დამაკავშირებელი კაბელი, შავი   SOLARFLEX®-X PV1-F 1x6 mm2</t>
  </si>
  <si>
    <t>DC საკაბელო ხაზები PV/Wind ბრალდების კონტროლერებზე  NYM-O 2x25 mm2</t>
  </si>
  <si>
    <t>GENSET 5KVA ელექტრული სტარტერით  Huter DY6500LXA</t>
  </si>
  <si>
    <t>ბატარეა 100Ah, 12V   DELTA GX-12/100</t>
  </si>
  <si>
    <t>lokaluri xarjTaRricxva #3-7</t>
  </si>
  <si>
    <t>მთავარი გამანაწილებელი დაფა  MB</t>
  </si>
  <si>
    <t>დენის კაბელი 1000 ვ, მრგვალი, შევსებული სპილენძის გამტარებს შორის ჰალოგენური ნარევით, XLPE იზოლაციით  N2XH 3x2,5</t>
  </si>
  <si>
    <t>lokaluri xarjTaRricxva #3-8</t>
  </si>
  <si>
    <t>დაბრკოლების შუქი  ЗОМ-1</t>
  </si>
  <si>
    <t xml:space="preserve"> obieqturi saxarjTaRricxvo Rirebuleba  #4</t>
  </si>
  <si>
    <t>4-1</t>
  </si>
  <si>
    <t>4-2</t>
  </si>
  <si>
    <t>4-3</t>
  </si>
  <si>
    <t>4-4</t>
  </si>
  <si>
    <t>4-5</t>
  </si>
  <si>
    <t>4-6</t>
  </si>
  <si>
    <t>4-7</t>
  </si>
  <si>
    <t>4-8</t>
  </si>
  <si>
    <t>qoxi qvaxidze</t>
  </si>
  <si>
    <t>lokaluri xarjTaRricxva #4-1</t>
  </si>
  <si>
    <t>konsruqciuli elementebi</t>
  </si>
  <si>
    <r>
      <t xml:space="preserve">liTonis Spuntrbis mowyoba -0,45 niS. </t>
    </r>
    <r>
      <rPr>
        <sz val="11"/>
        <rFont val="Calibri"/>
        <family val="2"/>
        <charset val="204"/>
        <scheme val="minor"/>
      </rPr>
      <t xml:space="preserve">CBC 159/550 </t>
    </r>
    <r>
      <rPr>
        <sz val="11"/>
        <rFont val="AcadNusx"/>
      </rPr>
      <t xml:space="preserve">LlS-1 (163c); ST-1 </t>
    </r>
    <r>
      <rPr>
        <sz val="11"/>
        <rFont val="Calibri"/>
        <family val="2"/>
        <charset val="204"/>
        <scheme val="minor"/>
      </rPr>
      <t xml:space="preserve">OC 250X250  </t>
    </r>
    <r>
      <rPr>
        <sz val="11"/>
        <rFont val="AcadNusx"/>
      </rPr>
      <t>(163c)</t>
    </r>
  </si>
  <si>
    <t>liT. koWebis  mowyoba -0,25 niSnulze</t>
  </si>
  <si>
    <t>xis koWebis mowyoba +2,14 - +4,06 niS. Soris (xis masalis antiseptirebiT)</t>
  </si>
  <si>
    <t>xis koWebis mowyoba +2,28 - +4,31 niS. Soris (xis masalis antiseptirebiT)</t>
  </si>
  <si>
    <t>xis dgarebis da Semkravebis mowyoba 50X150mm. (xis masalis antiseptirebiT)</t>
  </si>
  <si>
    <t xml:space="preserve">interieris mxridan Seficvris mowyoba magari jiSis xis garanduli ficriT sisq. 25mm. antiseptirebuli da antiperirebuli </t>
  </si>
  <si>
    <t>kedlebis wyoba adgilobrivi qviT</t>
  </si>
  <si>
    <t>magari jiSis xis Zeli  50X100mm. antiseptirebuli da antiperirebuli</t>
  </si>
  <si>
    <t xml:space="preserve">magari jiSis xis  yru gare karis mowyoba, antiseptikirebuli da antiperirebuli, rkinakaveuliT </t>
  </si>
  <si>
    <t xml:space="preserve">magari jiSis xis  yru Siga karebis mowyoba, antiseptirebuli da antiperirebuli, rkinakaveuliT </t>
  </si>
  <si>
    <t>terasis magari jiSis xis iatakis mowyoba sisqiT 40mm damuSavebuli zedapiriT antiseptirebuli da antiperirebuli</t>
  </si>
  <si>
    <t>terasis kibeebis wyoba adgilobrivi qviT</t>
  </si>
  <si>
    <t>vertmfrenis momsaxureoba (simaRle 2400m, rotaciis rodenoba 219, distancia bazamde 11km, safreni dro 2778wT,  mobilizaciiis CaTvliT.</t>
  </si>
  <si>
    <t>cxenebis sadgomi qvaxidze</t>
  </si>
  <si>
    <t>lokaluri xarjTaRricxva #4-2</t>
  </si>
  <si>
    <t>lokaluri xarjTaRricxva #4-3</t>
  </si>
  <si>
    <t>CHIMNEY კომპლექტი, უჟანგავი ფოლადი, 0,6 მმ (მილები 1 მ D150 - 5 ცალი, ჩაის D150 87 ° - 1 ცალი., სარწყავი ქილა D150 - 1 ცალი, სოკო D150 - 1 ცალი, ფრჩხილი D150 - 4 ცალი., მუხლი D150 45 ° - 2 ცალი.) D120 mm</t>
  </si>
  <si>
    <t>CHIMNEY კომპლექტი, უჟანგავი ფოლადი, 0,6 მმ (მილები 1 მ D120 - 5 ცალი, ჩაის D120 87 ° - 1 ცალი., სარწყავი ქილა D120 - 1 ცალი, სოკო D120 - 1 ცალი, ფრჩხილი D120 - 4 ცალი., მუხლი D120 45 ° - 2 ცალი.)  D120 mm</t>
  </si>
  <si>
    <t>lokaluri xarjTaRricxva #4-4</t>
  </si>
  <si>
    <t>lokaluri xarjTaRricxva #4-5</t>
  </si>
  <si>
    <t xml:space="preserve">ცივი წყლის მილი (შემომსვლელი)40 მ.მ. </t>
  </si>
  <si>
    <t>ცხელი წყლის მილის თერმოიზოლაცია  25</t>
  </si>
  <si>
    <t xml:space="preserve"> გადამყვანი ზომებზე წ 25/20</t>
  </si>
  <si>
    <t>დრენ კუთხე  45 50</t>
  </si>
  <si>
    <t>გოფრირებული მილი სადრენაჟე ჭის d1000</t>
  </si>
  <si>
    <t>ფილტრი უხეში 40</t>
  </si>
  <si>
    <t>ფილტრი  რკინის ბადით 32</t>
  </si>
  <si>
    <t>ფილტრი  100 მიკრონიანი 32</t>
  </si>
  <si>
    <t>ჩამკეტი ონკანები 32</t>
  </si>
  <si>
    <t>lokaluri xarjTaRricxva #4-6</t>
  </si>
  <si>
    <t>lokaluri xarjTaRricxva #4-7</t>
  </si>
  <si>
    <t>lokaluri xarjTaRricxva #4-8</t>
  </si>
  <si>
    <t xml:space="preserve"> obieqturi saxarjTaRricxvo Rirebuleba  #5</t>
  </si>
  <si>
    <t>5-1</t>
  </si>
  <si>
    <t>5-2</t>
  </si>
  <si>
    <t>5-3</t>
  </si>
  <si>
    <t>5-4</t>
  </si>
  <si>
    <t>5-5</t>
  </si>
  <si>
    <t>5-6</t>
  </si>
  <si>
    <t>5-7</t>
  </si>
  <si>
    <t>qoxi  zeda tanieze</t>
  </si>
  <si>
    <t>lokaluri xarjTaRricxva #5-1</t>
  </si>
  <si>
    <r>
      <t>mon. r/b wertilovani saZirkvlebi  sZm-1 (41c); sZm-2 (2c); sZm-3 (1c); sZm-4 (1c), betoni ~</t>
    </r>
    <r>
      <rPr>
        <sz val="11"/>
        <rFont val="Calibri"/>
        <family val="2"/>
        <charset val="204"/>
        <scheme val="minor"/>
      </rPr>
      <t>B25</t>
    </r>
    <r>
      <rPr>
        <sz val="11"/>
        <rFont val="AcadNusx"/>
      </rPr>
      <t>~</t>
    </r>
  </si>
  <si>
    <r>
      <t xml:space="preserve">ankerebis mowyoba </t>
    </r>
    <r>
      <rPr>
        <sz val="11"/>
        <rFont val="Calibri"/>
        <family val="2"/>
        <charset val="204"/>
        <scheme val="minor"/>
      </rPr>
      <t>A-1</t>
    </r>
    <r>
      <rPr>
        <sz val="11"/>
        <rFont val="AcadNusx"/>
      </rPr>
      <t xml:space="preserve"> (3c)</t>
    </r>
  </si>
  <si>
    <r>
      <t xml:space="preserve">sayelo </t>
    </r>
    <r>
      <rPr>
        <sz val="11"/>
        <rFont val="Calibri"/>
        <family val="2"/>
        <charset val="204"/>
        <scheme val="minor"/>
      </rPr>
      <t>M16</t>
    </r>
  </si>
  <si>
    <r>
      <t xml:space="preserve">qanCi </t>
    </r>
    <r>
      <rPr>
        <sz val="11"/>
        <rFont val="Calibri"/>
        <family val="2"/>
        <charset val="204"/>
        <scheme val="minor"/>
      </rPr>
      <t>M16</t>
    </r>
  </si>
  <si>
    <t>Casatanebeli naw. mowyoba Cn-1 (44 cali) -0,45 niS.</t>
  </si>
  <si>
    <t>liTonis svetebis mowyoba -3,85 niSulze</t>
  </si>
  <si>
    <t>liT. elementebis mowyoba lk-1 +2,95 niS.</t>
  </si>
  <si>
    <r>
      <t xml:space="preserve">liTonis kvanZebis mowyoba </t>
    </r>
    <r>
      <rPr>
        <sz val="11"/>
        <rFont val="Calibri"/>
        <family val="2"/>
        <charset val="204"/>
        <scheme val="minor"/>
      </rPr>
      <t xml:space="preserve">A, B, C, D, E, F, G H </t>
    </r>
    <r>
      <rPr>
        <sz val="11"/>
        <rFont val="AcadNusx"/>
      </rPr>
      <t>da</t>
    </r>
    <r>
      <rPr>
        <sz val="11"/>
        <rFont val="Calibri"/>
        <family val="2"/>
        <charset val="204"/>
        <scheme val="minor"/>
      </rPr>
      <t xml:space="preserve"> I</t>
    </r>
  </si>
  <si>
    <t>magari jiSis xis Zeli  50X100mm.  antiseptirebuli da antiperirebuli</t>
  </si>
  <si>
    <t>vertmfrenis momsaxureoba (simaRle 2800m, rotaciis rodenoba 211, distancia bazamde 10km, safreni dro 3607wT, mobilizaciis CaTvliT</t>
  </si>
  <si>
    <t>cxenebis sadgomi zeda tanieze</t>
  </si>
  <si>
    <t>lokaluri xarjTaRricxva #5-2</t>
  </si>
  <si>
    <t>lokaluri xarjTaRricxva #5-3</t>
  </si>
  <si>
    <t>თუჯის ხის დაწვის ღუმელი 11,9 კვტ რეიტინგული თბოელექტრონული შეყვანით, წინა და გვერდითი ჩამტვირთავი კარი, მაღალი თერმული მოსავლიანობა თუჯით, კერა თუჯში შემდგომი წვის სისტემით, კერამიკული მინა მდგრადია 750 ° -მდე. საათობრივი მოხმარება 3,2 კგ/სთ. სეზონური სივრცის გათბობის ენერგოეფექტურობა 72% (ECODESIGN 2022). კვამლის გამოსასვლელი დიამეტრი 150 მმ s/p. ზომები (W-H-D) 790x775x660 მმ ISOTTA EVO</t>
  </si>
  <si>
    <t>ბულერჯანის ღუმელი თავისუფალი ნაკადის ტიპი ღუმელით, 6 კვტ რეიტინგული თერმული შეყვანა, წინა ჩამტვირთავი კარი, მინა ROBAX, დამცავი საფარი პერფორაციით. ენერგოეფექტურობა 75%. კვამლის გამოსასვლელი დიამეტრი 120 მმ/წმ. ზომები (W-H-D) 680x500x695 მმ Type 00</t>
  </si>
  <si>
    <t>PEDESTAL WAL, 70 x 66 x 36 სმ (დაახ., დღე/ღამე)  Type 00</t>
  </si>
  <si>
    <t>gaTbobis sistemis montaJi</t>
  </si>
  <si>
    <t>lokaluri xarjTaRricxva #5-4</t>
  </si>
  <si>
    <t>მილის ტიპის ვენტილატორი პლასტმასის გარსში ჰაერის მაქსიმალური სიმძლავრით 340 მ 3 / სთ და ტემპერატურა დიაპაზონში -25 ° C- დან + 60 ° C- მდე, EC -DC ძრავა გარე როტორით, ზუსტი სიჩქარის კონტროლი დიაპაზონში 0 დან 100%-მდე, d100 მმ დამაკავშირებელი მილი ВК 100 ЕС</t>
  </si>
  <si>
    <t>პლასტიკური სადინარი, დ 100 მმ, სიგრძე 0.5 მ, თეთრი Р-1/010 111</t>
  </si>
  <si>
    <t>კონექტორი კედლის ფირფიტით მრგვალი არხებისთვის d 100 მმ 151</t>
  </si>
  <si>
    <t>კედლის დასაყენებლად გამოსაბოლქვი გამწოვი mm 100 მმ, დასაბრუნებელი სარქველით, რომელიც დამონტაჟებულია გარე კედელზე სავენტილაციო ხვრელზე და უკავშირდება გამონაბოლქვი ჰაერის სადინარს 100 მმ დიამეტრით  МР 102 ВК</t>
  </si>
  <si>
    <t>პლასტიკური დიფუზორი 100 მმ მრგვალ საჰაერო სადინარებთან დასაკავშირებლად, სამონტაჟო ინტერფეისებით და სამონტაჟო ფლანგებით А 100 ВР</t>
  </si>
  <si>
    <t>კედლის დამონტაჟების ავტომატური ჰაერის მიწოდება. თერმოსტატული სარქვლის ნაკრები, კედლის გაფართოებადი კედლის ცვლადი სისქისთვის, ინტეგრირებული ჰაერის ფილტრის ვაზნის კლასი G 3 და ფიქსირებული გარე ცხაური. ყველა ნაწილი დამზადებულია ზემოქმედების მდგრადი პლასტმასისგან, თეთრი. ჩამონტაჟებული ტემპერატურის სენსორი არეგულირებს სარქველის დისკის უფსკრული გარე ტემპერატურაზე –6 გრადუსი C– დან +20 გრადუსამდე დიაპაზონში. სარქველის დისკის შიგნითა ნაწილი დაფარულია საიზოლაციო საფარით კონდენსაციის თავიდან ასაცილებლად. ფილტრის ჩასმა ადვილად ცვალებადია მოსახსნელი სარქვლის ფირფიტის წყალობით, გააჩერეთ ძირითადი ვენტილაციისთვის და მინიმალური მოცულობისთვის. ცვლადი მოცულობის ნაკადის პარამეტრი ფირფიტის რეგულირების გზით. DIN 1946-ის თანახმად, ნაწილი 6. ხმის შემცირების საშუალო ინდექსი 30-35 დბ.ZLA 160</t>
  </si>
  <si>
    <t>lokaluri xarjTaRricxva #5-5</t>
  </si>
  <si>
    <t>ვერტიკალური ღერძი ქარის ტურბინა 3 კვტ "SAV"</t>
  </si>
  <si>
    <t>PV პანელებისთვის დამაკავშირებელი კაბელი, შავი    SOLARFLEX®-X PV1-F 1x6 mm2</t>
  </si>
  <si>
    <t>ბატარეა 100Ah, 12V  Huter DY6500LXA</t>
  </si>
  <si>
    <t>lokaluri xarjTaRricxva #5-6</t>
  </si>
  <si>
    <t>HALOGEN-free RIGID WIRING PIPE ∅16 მმ ჭერის კაბელისთვის 1516EHF_FA</t>
  </si>
  <si>
    <t>პლასტიკური პარაპეტი ტრაკინგი ჰალოგენის გარეშე 90X55 PK 90X55 D_HD</t>
  </si>
  <si>
    <t>lokaluri xarjTaRricxva #5-7</t>
  </si>
  <si>
    <t>პროფესიონალური ამინდის სადგური RST 01937</t>
  </si>
  <si>
    <t xml:space="preserve"> obieqturi saxarjTaRricxvo Rirebuleba  #6</t>
  </si>
  <si>
    <t>6-1</t>
  </si>
  <si>
    <t>6-2</t>
  </si>
  <si>
    <t>6-3</t>
  </si>
  <si>
    <t>6-4</t>
  </si>
  <si>
    <t>6-5</t>
  </si>
  <si>
    <t>6-6</t>
  </si>
  <si>
    <t>6-7</t>
  </si>
  <si>
    <t>6-8</t>
  </si>
  <si>
    <t>qoxi  qveda tanieze</t>
  </si>
  <si>
    <t>lokaluri xarjTaRricxva #6-1</t>
  </si>
  <si>
    <r>
      <t xml:space="preserve">liTonis Spuntrbis mowyoba -0,45 niS. </t>
    </r>
    <r>
      <rPr>
        <sz val="11"/>
        <rFont val="Calibri"/>
        <family val="2"/>
        <charset val="204"/>
        <scheme val="minor"/>
      </rPr>
      <t xml:space="preserve">CBC 159/550 </t>
    </r>
    <r>
      <rPr>
        <sz val="11"/>
        <rFont val="AcadNusx"/>
      </rPr>
      <t xml:space="preserve">LlS-1 (108c); ST-1 </t>
    </r>
    <r>
      <rPr>
        <sz val="11"/>
        <rFont val="Calibri"/>
        <family val="2"/>
        <charset val="204"/>
        <scheme val="minor"/>
      </rPr>
      <t xml:space="preserve">OC 250X250  </t>
    </r>
    <r>
      <rPr>
        <sz val="11"/>
        <rFont val="AcadNusx"/>
      </rPr>
      <t>(108c)</t>
    </r>
  </si>
  <si>
    <t>liTonis elementi xis koWbTan +2,04 - +3,31 niS. Soris</t>
  </si>
  <si>
    <t>xis koWebis mowyoba +2,04 - +3,31 niS. Soris (xis masalis antiseptirebiT)</t>
  </si>
  <si>
    <t>xis koWebis mowyoba +2,06 - +3,65 niS. Soris (xis masalis antiseptirebiT)</t>
  </si>
  <si>
    <r>
      <t xml:space="preserve">liTonis kvanZebis mowyoba </t>
    </r>
    <r>
      <rPr>
        <sz val="11"/>
        <rFont val="Calibri"/>
        <family val="2"/>
        <charset val="204"/>
        <scheme val="minor"/>
      </rPr>
      <t xml:space="preserve">A, B, C, D, E, F, G, H </t>
    </r>
    <r>
      <rPr>
        <sz val="11"/>
        <rFont val="AcadNusx"/>
      </rPr>
      <t>da</t>
    </r>
    <r>
      <rPr>
        <sz val="11"/>
        <rFont val="Calibri"/>
        <family val="2"/>
        <charset val="204"/>
        <scheme val="minor"/>
      </rPr>
      <t xml:space="preserve"> I</t>
    </r>
  </si>
  <si>
    <t>minapaketiT Seminuli magari jiSis xis gare karis mowyoba, antiseptirebuli da antiperirebuli, rkina-kaveuliT</t>
  </si>
  <si>
    <t>minapaketiT Seminuli magari jiSis xis Siga karis mowyoba, antiseptirebuli da antiperirebuli, rkina-kaveuliT</t>
  </si>
  <si>
    <t xml:space="preserve">liTonis  karebis mowyoba              </t>
  </si>
  <si>
    <t>liTonis karebis dafarva antikoroziuli gruntiT</t>
  </si>
  <si>
    <t>vertmfrenis momsaxureoba (simaRle 2000m, rotaciis rodenoba 196, distancia bazamde 18km, safreni dro 4862wT, mobilizaciis CaTvliT</t>
  </si>
  <si>
    <t>cxenebis sadgomi qveda tanieze</t>
  </si>
  <si>
    <t>lokaluri xarjTaRricxva #6-2</t>
  </si>
  <si>
    <t>lokaluri xarjTaRricxva #6-3</t>
  </si>
  <si>
    <t>CHIMNEY კომპლექტი, უჟანგავი ფოლადი, 0,6 მმ (მილები 1 მ D150 - 5 ცალი, ჩაის D150 87 ° - 1 ცალი., სარწყავი ქილა D150 - 1 ცალი, სოკო D150 - 1 ცალი, ფრჩხილი D150 - 4 ცალი., მუხლი D150 45 ° - 2 ცალი. D120 mm</t>
  </si>
  <si>
    <t>lokaluri xarjTaRricxva #6-4</t>
  </si>
  <si>
    <t>lokaluri xarjTaRricxva #6-5</t>
  </si>
  <si>
    <t>ცივი წყლის მილი (შემომსვლელი)40 მ.მ.   Хвс</t>
  </si>
  <si>
    <t>ცივი წყლის მილი 32     хвс</t>
  </si>
  <si>
    <t>ცივი წყლის მილი 25    хвс</t>
  </si>
  <si>
    <t>ცივი წყლის მილი 20   хвс</t>
  </si>
  <si>
    <t>ცივი წყლის გამანაწილიბელი (რვიანი)   хвс</t>
  </si>
  <si>
    <t>ცივი წყლის მილის სამაგრები 25   хвс</t>
  </si>
  <si>
    <t>ცივი წყლის მილის სამაგრები 20   хвс</t>
  </si>
  <si>
    <t>ცივი წყლის მილის თერმოიზოლაცია 32   хвс</t>
  </si>
  <si>
    <t>ცივი წყლის მილის თერმოიზოლაცია 25   хвс</t>
  </si>
  <si>
    <t>ცივი წყლის მილის თერმოიზოლაცია 20   хвс</t>
  </si>
  <si>
    <t>ცხელი წყლის მილი 25  гвс</t>
  </si>
  <si>
    <t>ცხელი წყლის მილი  20   гвс</t>
  </si>
  <si>
    <t>ცხელი წყლის გამანაწილებელი (ექვსიანი)   гвс</t>
  </si>
  <si>
    <t>ცხელი წყლის მილის სამაგრები 25   гвс</t>
  </si>
  <si>
    <t>ცხელი წყლის მილის სამაგრები 20   гвс</t>
  </si>
  <si>
    <t>ცხელი წყლის მილის თერმოიზოლაცია 25    гвс</t>
  </si>
  <si>
    <t>ცხელი წყლის მილის თერმოიზოლაცია  20   гвс</t>
  </si>
  <si>
    <t>ონკანი ბურთულიანი 40  хвс</t>
  </si>
  <si>
    <t>კუთხე წ 40   хвс</t>
  </si>
  <si>
    <t>კუთხე წ 32   хвс</t>
  </si>
  <si>
    <t>კუთხე წ 25   хвс</t>
  </si>
  <si>
    <t>კუთხე წ 20   хвс</t>
  </si>
  <si>
    <t>ქურო წ  40   хвс</t>
  </si>
  <si>
    <t>ქურო წ 32   хвс</t>
  </si>
  <si>
    <t>ქურო წ 25   хвс</t>
  </si>
  <si>
    <t>ქურო წ 20   хвс</t>
  </si>
  <si>
    <t>სამკაფი წ 40   хвс</t>
  </si>
  <si>
    <t>სამკაფი წ 32   хвс</t>
  </si>
  <si>
    <t>სამკაფი წ 25/20/25   хвс</t>
  </si>
  <si>
    <t>სამკაფი წ 25/25/25  хвс</t>
  </si>
  <si>
    <t>სამკაფი წ 20  хвс</t>
  </si>
  <si>
    <t>გადამყვანი ზომებზე წ 40/32  хвс</t>
  </si>
  <si>
    <t>გადამყვანი ზომებზე წ 32/25  хвс</t>
  </si>
  <si>
    <t>გადამყვანი ზომებზე წ 25/20  хвс</t>
  </si>
  <si>
    <t xml:space="preserve">კანალიზაციის მილი გარე (წითელი) 110  </t>
  </si>
  <si>
    <t xml:space="preserve">კანალიზაციის მილი 110 </t>
  </si>
  <si>
    <t xml:space="preserve"> კუთხე  კან.110</t>
  </si>
  <si>
    <t>lokaluri xarjTaRricxva #6-6</t>
  </si>
  <si>
    <t>PV პანელებისთვის დამაკავშირებელი კაბელი, შავი SOLARFLEX®-X PV1-F 1x6 mm2</t>
  </si>
  <si>
    <t>lokaluri xarjTaRricxva #6-7</t>
  </si>
  <si>
    <t>lokaluri xarjTaRricxva #6-8</t>
  </si>
  <si>
    <t xml:space="preserve"> obieqturi saxarjTaRricxvo Rirebuleba  #7</t>
  </si>
  <si>
    <t>7-1</t>
  </si>
  <si>
    <t>7-2</t>
  </si>
  <si>
    <t>7-3</t>
  </si>
  <si>
    <t>7-4</t>
  </si>
  <si>
    <t>7-5</t>
  </si>
  <si>
    <t>7-6</t>
  </si>
  <si>
    <t>7-7</t>
  </si>
  <si>
    <t>7-8</t>
  </si>
  <si>
    <t>qoxi xidotanze</t>
  </si>
  <si>
    <t>lokaluri xarjTaRricxva #7-1</t>
  </si>
  <si>
    <r>
      <t xml:space="preserve">liTonis Spuntrbis mowyoba -0,45 niS. </t>
    </r>
    <r>
      <rPr>
        <sz val="11"/>
        <rFont val="Calibri"/>
        <family val="2"/>
        <charset val="204"/>
        <scheme val="minor"/>
      </rPr>
      <t xml:space="preserve">CBC 159/550 </t>
    </r>
    <r>
      <rPr>
        <sz val="11"/>
        <rFont val="AcadNusx"/>
      </rPr>
      <t xml:space="preserve">LlS-1 (287c); ST-1 </t>
    </r>
    <r>
      <rPr>
        <sz val="11"/>
        <rFont val="Calibri"/>
        <family val="2"/>
        <charset val="204"/>
        <scheme val="minor"/>
      </rPr>
      <t xml:space="preserve">OC 250X250  </t>
    </r>
    <r>
      <rPr>
        <sz val="11"/>
        <rFont val="AcadNusx"/>
      </rPr>
      <t>(287c)</t>
    </r>
  </si>
  <si>
    <t>xis koWebis mowyoba +1,95 - +3,67 niS. Soris (xis masalis antiseptirebiT)</t>
  </si>
  <si>
    <t>xis koWebis mowyoba +1,97 - +3,89 niS. Soris (xis masalis antiseptirebiT)</t>
  </si>
  <si>
    <t>iatakis Tboizolacia qvabambiT sisq. 100mm.  159,35 kv.m.</t>
  </si>
  <si>
    <t xml:space="preserve"> kibeebis wyoba adgilobrivi qviT</t>
  </si>
  <si>
    <t>vertmfrenis momsaxureoba (simaRle 2450m, rotaciis rodenoba 233, distancia bazamde 14km, safreni dro 4849wT, mobilizaciis CaTvliT.</t>
  </si>
  <si>
    <t>cxenebis sadgomi xidotanze</t>
  </si>
  <si>
    <t>lokaluri xarjTaRricxva #7-2</t>
  </si>
  <si>
    <t>lokaluri xarjTaRricxva #7-3</t>
  </si>
  <si>
    <t>lokaluri xarjTaRricxva #7-4</t>
  </si>
  <si>
    <t>გულშემატკივართა სიჩქარის კონტროლერი გულშემატკივართათვის EC ძრავით Р-1/010</t>
  </si>
  <si>
    <t>კედლის დასაყენებლად გამოსაბოლქვი გამწოვი mm 100 მმ, დასაბრუნებელი სარქველით, რომელიც დამონტაჟებულია გარე კედელზე სავენტილაციო ხვრელზე და უკავშირდება გამონაბოლქვი ჰაერის სადინარს 100 მმ დიამეტრით МР 102 ВК</t>
  </si>
  <si>
    <t>კედლის დამონტაჟების ავტომატური ჰაერის მიწოდება. თერმოსტატული სარქვლის ნაკრები, კედლის გაფართოებადი კედლის ცვლადი სისქისთვის, ინტეგრირებული ჰაერის ფილტრის ვაზნის კლასი G 3 და ფიქსირებული გარე ცხაური. ყველა ნაწილი დამზადებულია ზემოქმედების მდგრადი პლასტმასისგან, თეთრი. ჩამონტაჟებული ტემპერატურის სენსორი არეგულირებს სარქველის დისკის უფსკრული გარე ტემპერატურაზე –6 გრადუსი C– დან +20 გრადუსამდე დიაპაზონში. სარქველის დისკის შიგნითა ნაწილი დაფარულია საიზოლაციო საფარით კონდენსაციის თავიდან ასაცილებლად. ფილტრის ჩასმა ადვილად ცვალებადია მოსახსნელი სარქვლის ფირფიტის წყალობით, გააჩერეთ ძირითადი ვენტილაციისთვის და მინიმალური მოცულობისთვის. ცვლადი მოცულობის ნაკადის პარამეტრი ფირფიტის რეგულირების გზით. DIN 1946-ის თანახმად, ნაწილი 6. ხმის შემცირების საშუალო ინდექსი 30-35 დბ. ZLA 160</t>
  </si>
  <si>
    <t>lokaluri xarjTaRricxva #7-5</t>
  </si>
  <si>
    <t>ცივი წყლის მილის თერმოიზოლაცია  25</t>
  </si>
  <si>
    <t>ცივი წყლის მილის თერმოიზოლაცია  20</t>
  </si>
  <si>
    <t>ცხელი წყლის მილი  20</t>
  </si>
  <si>
    <t>ქურო წ 40</t>
  </si>
  <si>
    <r>
      <t xml:space="preserve"> კუთხე  კან. 45</t>
    </r>
    <r>
      <rPr>
        <sz val="10"/>
        <rFont val="Calibri"/>
        <family val="2"/>
        <charset val="204"/>
      </rPr>
      <t>° 110</t>
    </r>
  </si>
  <si>
    <r>
      <t>დრენ კუთხე  45</t>
    </r>
    <r>
      <rPr>
        <sz val="10"/>
        <rFont val="Calibri"/>
        <family val="2"/>
        <charset val="204"/>
      </rPr>
      <t>° 50</t>
    </r>
  </si>
  <si>
    <t>გოფრირებული მილი სადრენაჟე ჭის 1000</t>
  </si>
  <si>
    <t>lokaluri xarjTaRricxva #7-6</t>
  </si>
  <si>
    <t>ვერტიკალური ღერძი ქარის ტურბინა 3 კვტ  "SAV"</t>
  </si>
  <si>
    <t xml:space="preserve">ქარის MPPT დატენვის კონტროლერი ნაგავსაყრელის დატვირთვის მოდულით </t>
  </si>
  <si>
    <t>lokaluri xarjTaRricxva #7-7</t>
  </si>
  <si>
    <t>lokaluri xarjTaRricxva #7-8</t>
  </si>
  <si>
    <t>ჯუთა-ომალოს დამაკავშირებელი ბილიკების ქსელის და 7 მთის ქოხის მოწყობა</t>
  </si>
  <si>
    <t>კრებსითი (ბილიკი)</t>
  </si>
  <si>
    <t>კრებსითი (ქოხები)</t>
  </si>
  <si>
    <t>მშენებლობის ღირებულების გაერთიანებული სახარჯთაღრიცხვო ანგარიში (კრებსითი ბილიკი + კრებსითი ქოხები)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</si>
</sst>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
    <numFmt numFmtId="165" formatCode="_(* #,##0.00_);_(* \(#,##0.00\);_(* &quot;-&quot;??_);_(@_)"/>
    <numFmt numFmtId="166" formatCode="0.0000000"/>
    <numFmt numFmtId="167" formatCode="0.000"/>
    <numFmt numFmtId="168" formatCode="0.00000"/>
    <numFmt numFmtId="169" formatCode="0.0000"/>
    <numFmt numFmtId="170" formatCode="0.000000"/>
    <numFmt numFmtId="171" formatCode="#,##0.000"/>
    <numFmt numFmtId="172" formatCode="0.000000000"/>
  </numFmts>
  <fonts count="75">
    <font>
      <sz val="11"/>
      <color theme="1"/>
      <name val="Calibri"/>
      <family val="2"/>
      <scheme val="minor"/>
    </font>
    <font>
      <sz val="11"/>
      <color theme="1"/>
      <name val="Calibri"/>
      <family val="2"/>
      <charset val="1"/>
      <scheme val="minor"/>
    </font>
    <font>
      <sz val="10"/>
      <name val="Arial"/>
      <family val="2"/>
    </font>
    <font>
      <sz val="11"/>
      <color theme="1"/>
      <name val="Times New Roman"/>
      <family val="1"/>
      <charset val="204"/>
    </font>
    <font>
      <b/>
      <sz val="11"/>
      <color theme="1"/>
      <name val="Calibri"/>
      <family val="2"/>
      <scheme val="minor"/>
    </font>
    <font>
      <b/>
      <sz val="11"/>
      <color theme="1"/>
      <name val="Calibri"/>
      <family val="2"/>
      <charset val="204"/>
      <scheme val="minor"/>
    </font>
    <font>
      <sz val="10"/>
      <name val="Helv"/>
    </font>
    <font>
      <sz val="11"/>
      <color theme="1"/>
      <name val="Symbol"/>
      <family val="1"/>
      <charset val="2"/>
    </font>
    <font>
      <sz val="8"/>
      <name val="Calibri"/>
      <family val="2"/>
      <scheme val="minor"/>
    </font>
    <font>
      <b/>
      <sz val="11"/>
      <color theme="1"/>
      <name val="Symbol"/>
      <family val="1"/>
      <charset val="2"/>
    </font>
    <font>
      <sz val="10"/>
      <name val="Arial"/>
      <family val="2"/>
      <charset val="204"/>
    </font>
    <font>
      <sz val="11"/>
      <color theme="1"/>
      <name val="Calibri"/>
      <family val="2"/>
      <charset val="204"/>
      <scheme val="minor"/>
    </font>
    <font>
      <b/>
      <sz val="11"/>
      <name val="AcadNusx"/>
    </font>
    <font>
      <sz val="12"/>
      <name val="AcadNusx"/>
    </font>
    <font>
      <sz val="12"/>
      <name val="AcadEref"/>
    </font>
    <font>
      <sz val="10"/>
      <name val="Arial"/>
      <family val="2"/>
      <charset val="204"/>
    </font>
    <font>
      <sz val="12"/>
      <name val="Times New Roman"/>
      <family val="1"/>
      <charset val="204"/>
    </font>
    <font>
      <sz val="14"/>
      <name val="Arial"/>
      <family val="2"/>
      <charset val="204"/>
    </font>
    <font>
      <sz val="10"/>
      <color rgb="FFFF0000"/>
      <name val="Arial"/>
      <family val="2"/>
      <charset val="204"/>
    </font>
    <font>
      <b/>
      <sz val="12"/>
      <name val="Times New Roman"/>
      <family val="1"/>
      <charset val="204"/>
    </font>
    <font>
      <b/>
      <sz val="13"/>
      <name val="AcadMtavr"/>
    </font>
    <font>
      <sz val="10"/>
      <name val="AcadNusx"/>
    </font>
    <font>
      <b/>
      <sz val="12"/>
      <name val="AcadMtavr"/>
    </font>
    <font>
      <b/>
      <sz val="12"/>
      <name val="AcadNusx"/>
    </font>
    <font>
      <sz val="12"/>
      <name val="Arial"/>
      <family val="2"/>
    </font>
    <font>
      <sz val="9"/>
      <color rgb="FFFF0000"/>
      <name val="AcadNusx"/>
    </font>
    <font>
      <sz val="9"/>
      <name val="AcadNusx"/>
    </font>
    <font>
      <sz val="10"/>
      <name val="Arial"/>
    </font>
    <font>
      <b/>
      <sz val="14"/>
      <name val="Academic-Times"/>
    </font>
    <font>
      <b/>
      <sz val="14"/>
      <name val="AcadNusx"/>
    </font>
    <font>
      <sz val="14"/>
      <name val="AcadNusx"/>
    </font>
    <font>
      <b/>
      <sz val="14"/>
      <name val="Arial"/>
      <family val="2"/>
      <charset val="204"/>
    </font>
    <font>
      <b/>
      <sz val="12"/>
      <name val="Arial"/>
      <family val="2"/>
      <charset val="204"/>
    </font>
    <font>
      <sz val="12"/>
      <name val="Calibri"/>
      <family val="2"/>
      <charset val="204"/>
      <scheme val="minor"/>
    </font>
    <font>
      <sz val="12"/>
      <name val="Calibri"/>
      <family val="2"/>
      <charset val="204"/>
    </font>
    <font>
      <sz val="11"/>
      <name val="AcadNusx"/>
      <family val="2"/>
      <charset val="204"/>
    </font>
    <font>
      <sz val="11"/>
      <name val="Calibri"/>
      <family val="2"/>
      <charset val="204"/>
      <scheme val="minor"/>
    </font>
    <font>
      <sz val="11"/>
      <name val="AcadNusx"/>
    </font>
    <font>
      <vertAlign val="superscript"/>
      <sz val="12"/>
      <name val="AcadNusx"/>
    </font>
    <font>
      <sz val="12"/>
      <name val="AcadNusx"/>
      <family val="2"/>
      <charset val="204"/>
    </font>
    <font>
      <b/>
      <i/>
      <sz val="13"/>
      <name val="AcadNusx"/>
    </font>
    <font>
      <i/>
      <sz val="11"/>
      <name val="Times New Roman"/>
      <family val="1"/>
      <charset val="204"/>
    </font>
    <font>
      <i/>
      <sz val="10"/>
      <name val="AcadNusx"/>
    </font>
    <font>
      <i/>
      <sz val="11"/>
      <name val="AcadNusx"/>
    </font>
    <font>
      <i/>
      <sz val="10"/>
      <name val="Arial"/>
      <family val="2"/>
      <charset val="204"/>
    </font>
    <font>
      <b/>
      <i/>
      <sz val="10"/>
      <name val="Times New Roman"/>
      <family val="1"/>
    </font>
    <font>
      <b/>
      <i/>
      <sz val="10"/>
      <name val="Times New Roman"/>
      <family val="1"/>
      <charset val="204"/>
    </font>
    <font>
      <b/>
      <i/>
      <sz val="12"/>
      <name val="AcadNusx"/>
    </font>
    <font>
      <sz val="8"/>
      <name val="Arial"/>
      <family val="2"/>
      <charset val="204"/>
    </font>
    <font>
      <b/>
      <i/>
      <sz val="10"/>
      <name val="AcadNusx"/>
    </font>
    <font>
      <b/>
      <i/>
      <sz val="11"/>
      <name val="AcadNusx"/>
    </font>
    <font>
      <i/>
      <sz val="10"/>
      <name val="Helv"/>
    </font>
    <font>
      <sz val="12"/>
      <name val="Helv"/>
    </font>
    <font>
      <sz val="10"/>
      <name val="Arial Cyr"/>
      <charset val="204"/>
    </font>
    <font>
      <sz val="11"/>
      <color indexed="8"/>
      <name val="Times New Roman"/>
      <family val="1"/>
    </font>
    <font>
      <sz val="11"/>
      <color indexed="8"/>
      <name val="LitNusx"/>
      <family val="2"/>
    </font>
    <font>
      <i/>
      <sz val="8"/>
      <name val="AcadNusx"/>
    </font>
    <font>
      <sz val="11"/>
      <name val="Calibri"/>
      <family val="2"/>
      <charset val="204"/>
    </font>
    <font>
      <b/>
      <sz val="10"/>
      <name val="AcadNusx"/>
    </font>
    <font>
      <b/>
      <sz val="9"/>
      <name val="AcadNusx"/>
    </font>
    <font>
      <sz val="10"/>
      <name val="Times New Roman"/>
      <family val="1"/>
      <charset val="204"/>
    </font>
    <font>
      <sz val="10"/>
      <name val="Calibri"/>
      <family val="2"/>
      <charset val="204"/>
      <scheme val="minor"/>
    </font>
    <font>
      <sz val="10"/>
      <name val="BPG Arial"/>
      <family val="2"/>
      <charset val="204"/>
    </font>
    <font>
      <b/>
      <sz val="10"/>
      <name val="BPG Arial"/>
      <charset val="204"/>
    </font>
    <font>
      <sz val="10"/>
      <name val="Calibri"/>
      <family val="2"/>
      <charset val="204"/>
    </font>
    <font>
      <b/>
      <sz val="10"/>
      <name val="Times New Roman"/>
      <family val="1"/>
    </font>
    <font>
      <sz val="11"/>
      <name val="Times New Roman"/>
      <family val="1"/>
      <charset val="204"/>
    </font>
    <font>
      <sz val="10"/>
      <name val="Times New Roman"/>
      <family val="1"/>
    </font>
    <font>
      <b/>
      <sz val="10"/>
      <color indexed="8"/>
      <name val="AcadNusx"/>
    </font>
    <font>
      <sz val="11"/>
      <color indexed="8"/>
      <name val="AcadNusx"/>
    </font>
    <font>
      <sz val="10"/>
      <color indexed="8"/>
      <name val="AcadNusx"/>
    </font>
    <font>
      <b/>
      <sz val="10"/>
      <name val="Arial"/>
      <family val="2"/>
      <charset val="204"/>
    </font>
    <font>
      <b/>
      <sz val="11"/>
      <name val="Calibri"/>
      <family val="2"/>
      <charset val="204"/>
      <scheme val="minor"/>
    </font>
    <font>
      <b/>
      <sz val="18"/>
      <color theme="1"/>
      <name val="Calibri"/>
      <family val="2"/>
      <charset val="204"/>
      <scheme val="minor"/>
    </font>
    <font>
      <b/>
      <sz val="11"/>
      <color indexed="8"/>
      <name val="AcadNusx"/>
    </font>
  </fonts>
  <fills count="7">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249977111117893"/>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medium">
        <color indexed="64"/>
      </top>
      <bottom style="thin">
        <color indexed="64"/>
      </bottom>
      <diagonal/>
    </border>
    <border>
      <left/>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s>
  <cellStyleXfs count="22">
    <xf numFmtId="0" fontId="0" fillId="0" borderId="0"/>
    <xf numFmtId="0" fontId="2" fillId="0" borderId="0"/>
    <xf numFmtId="0" fontId="6" fillId="0" borderId="0"/>
    <xf numFmtId="0" fontId="2" fillId="0" borderId="0"/>
    <xf numFmtId="0" fontId="10" fillId="0" borderId="0"/>
    <xf numFmtId="0" fontId="2" fillId="0" borderId="0"/>
    <xf numFmtId="0" fontId="15" fillId="0" borderId="0"/>
    <xf numFmtId="0" fontId="6" fillId="0" borderId="0"/>
    <xf numFmtId="0" fontId="27" fillId="0" borderId="0"/>
    <xf numFmtId="0" fontId="10" fillId="0" borderId="0"/>
    <xf numFmtId="165" fontId="2" fillId="0" borderId="0" applyFont="0" applyFill="0" applyBorder="0" applyAlignment="0" applyProtection="0"/>
    <xf numFmtId="0" fontId="1" fillId="0" borderId="0"/>
    <xf numFmtId="0" fontId="53" fillId="0" borderId="0"/>
    <xf numFmtId="0" fontId="10" fillId="0" borderId="0"/>
    <xf numFmtId="0" fontId="2" fillId="0" borderId="0"/>
    <xf numFmtId="0" fontId="2" fillId="0" borderId="0"/>
    <xf numFmtId="0" fontId="10" fillId="0" borderId="0"/>
    <xf numFmtId="0" fontId="2" fillId="0" borderId="0"/>
    <xf numFmtId="0" fontId="2" fillId="0" borderId="0"/>
    <xf numFmtId="0" fontId="10" fillId="0" borderId="0"/>
    <xf numFmtId="0" fontId="2" fillId="0" borderId="0"/>
    <xf numFmtId="0" fontId="10" fillId="0" borderId="0"/>
  </cellStyleXfs>
  <cellXfs count="619">
    <xf numFmtId="0" fontId="0" fillId="0" borderId="0" xfId="0"/>
    <xf numFmtId="0" fontId="3" fillId="0" borderId="0" xfId="0" applyFont="1"/>
    <xf numFmtId="0" fontId="0" fillId="0" borderId="1" xfId="0"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right" vertical="center"/>
    </xf>
    <xf numFmtId="0" fontId="0" fillId="0" borderId="0" xfId="0" applyAlignment="1">
      <alignment horizontal="center" vertical="center"/>
    </xf>
    <xf numFmtId="0" fontId="0" fillId="0" borderId="1" xfId="0" applyBorder="1" applyAlignment="1">
      <alignment horizontal="center" vertical="center" wrapText="1"/>
    </xf>
    <xf numFmtId="0" fontId="7" fillId="0" borderId="1" xfId="0" applyFont="1" applyBorder="1" applyAlignment="1">
      <alignment horizontal="center" vertical="center"/>
    </xf>
    <xf numFmtId="49" fontId="0" fillId="0" borderId="1" xfId="0" applyNumberFormat="1" applyBorder="1" applyAlignment="1">
      <alignment horizontal="center" vertical="center"/>
    </xf>
    <xf numFmtId="49" fontId="0" fillId="0" borderId="0" xfId="0" applyNumberFormat="1" applyAlignment="1">
      <alignment horizontal="center" vertical="center"/>
    </xf>
    <xf numFmtId="49"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9"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2" fontId="5" fillId="0" borderId="1" xfId="0" applyNumberFormat="1" applyFon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left" vertical="center" wrapText="1"/>
    </xf>
    <xf numFmtId="0" fontId="11" fillId="0" borderId="1" xfId="0" applyFont="1" applyBorder="1" applyAlignment="1">
      <alignment horizontal="center" vertical="center"/>
    </xf>
    <xf numFmtId="2" fontId="0" fillId="0" borderId="0" xfId="0" applyNumberFormat="1"/>
    <xf numFmtId="0" fontId="0" fillId="0" borderId="1" xfId="0" applyBorder="1" applyAlignment="1">
      <alignment horizontal="left" vertical="center"/>
    </xf>
    <xf numFmtId="49" fontId="0" fillId="0" borderId="1" xfId="0" applyNumberFormat="1" applyFill="1" applyBorder="1" applyAlignment="1">
      <alignment horizontal="left" vertical="center" wrapText="1"/>
    </xf>
    <xf numFmtId="0" fontId="0" fillId="0" borderId="1" xfId="0" applyFill="1" applyBorder="1" applyAlignment="1">
      <alignment horizontal="center" vertical="center"/>
    </xf>
    <xf numFmtId="2" fontId="0" fillId="0" borderId="1" xfId="0" applyNumberFormat="1" applyFill="1" applyBorder="1" applyAlignment="1">
      <alignment horizontal="center" vertical="center"/>
    </xf>
    <xf numFmtId="0" fontId="0" fillId="0" borderId="1" xfId="0" applyBorder="1"/>
    <xf numFmtId="2" fontId="5" fillId="0" borderId="1" xfId="0" applyNumberFormat="1" applyFont="1" applyBorder="1"/>
    <xf numFmtId="0" fontId="0" fillId="0" borderId="1" xfId="0" applyBorder="1" applyAlignment="1">
      <alignment horizontal="center" vertical="center"/>
    </xf>
    <xf numFmtId="0" fontId="0" fillId="0" borderId="1" xfId="0" applyBorder="1" applyAlignment="1">
      <alignment horizontal="center" vertical="center"/>
    </xf>
    <xf numFmtId="0" fontId="13" fillId="0" borderId="1" xfId="5" applyFont="1" applyBorder="1" applyAlignment="1">
      <alignment horizontal="center"/>
    </xf>
    <xf numFmtId="0" fontId="13" fillId="0" borderId="1" xfId="5" applyFont="1" applyBorder="1" applyAlignment="1">
      <alignment horizontal="center" vertical="center" wrapText="1"/>
    </xf>
    <xf numFmtId="0" fontId="14" fillId="0" borderId="1" xfId="5" applyFont="1" applyBorder="1" applyAlignment="1">
      <alignment horizontal="center" vertical="center" wrapText="1"/>
    </xf>
    <xf numFmtId="0" fontId="16" fillId="0" borderId="1" xfId="6" applyFont="1" applyBorder="1" applyAlignment="1">
      <alignment horizontal="center" vertical="center" wrapText="1"/>
    </xf>
    <xf numFmtId="0" fontId="13" fillId="0" borderId="1" xfId="5" applyFont="1" applyBorder="1" applyAlignment="1">
      <alignment vertical="center" wrapText="1"/>
    </xf>
    <xf numFmtId="0" fontId="13" fillId="0" borderId="4" xfId="5" applyFont="1" applyBorder="1" applyAlignment="1">
      <alignment horizontal="center" vertical="center" wrapText="1"/>
    </xf>
    <xf numFmtId="0" fontId="16" fillId="0" borderId="2" xfId="6" applyFont="1" applyBorder="1" applyAlignment="1">
      <alignment horizontal="center" vertical="center" wrapText="1"/>
    </xf>
    <xf numFmtId="0" fontId="13" fillId="0" borderId="7" xfId="5" applyFont="1" applyBorder="1" applyAlignment="1">
      <alignment horizontal="left" vertical="center"/>
    </xf>
    <xf numFmtId="0" fontId="17" fillId="0" borderId="1" xfId="5" applyFont="1" applyBorder="1" applyAlignment="1">
      <alignment horizontal="center" vertical="center" wrapText="1"/>
    </xf>
    <xf numFmtId="0" fontId="12" fillId="0" borderId="1" xfId="5" applyFont="1" applyFill="1" applyBorder="1" applyAlignment="1">
      <alignment horizontal="center" vertical="center" wrapText="1"/>
    </xf>
    <xf numFmtId="0" fontId="11" fillId="0" borderId="1" xfId="0" applyFont="1" applyBorder="1"/>
    <xf numFmtId="2" fontId="0" fillId="0" borderId="1" xfId="0" applyNumberFormat="1" applyBorder="1"/>
    <xf numFmtId="164" fontId="5" fillId="0" borderId="1" xfId="0" applyNumberFormat="1" applyFont="1" applyBorder="1"/>
    <xf numFmtId="164" fontId="0" fillId="0" borderId="1" xfId="0" applyNumberFormat="1" applyBorder="1"/>
    <xf numFmtId="2" fontId="5" fillId="0" borderId="0" xfId="0" applyNumberFormat="1" applyFont="1"/>
    <xf numFmtId="0" fontId="19" fillId="0" borderId="2" xfId="6"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4" fillId="0" borderId="1" xfId="0" applyFont="1" applyFill="1" applyBorder="1" applyAlignment="1">
      <alignment horizontal="right" vertical="center"/>
    </xf>
    <xf numFmtId="0" fontId="5" fillId="0" borderId="1" xfId="0" applyFont="1" applyBorder="1" applyAlignment="1">
      <alignment horizont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wrapText="1"/>
    </xf>
    <xf numFmtId="0" fontId="5" fillId="0" borderId="0" xfId="0" applyFont="1" applyBorder="1" applyAlignment="1">
      <alignment horizontal="center" wrapText="1"/>
    </xf>
    <xf numFmtId="0" fontId="5" fillId="0" borderId="0" xfId="0" applyFont="1" applyAlignment="1">
      <alignment horizontal="center"/>
    </xf>
    <xf numFmtId="0" fontId="18" fillId="0" borderId="0" xfId="0" applyFont="1" applyAlignment="1">
      <alignment horizontal="center" vertical="center" wrapText="1"/>
    </xf>
    <xf numFmtId="0" fontId="5" fillId="0" borderId="1" xfId="0" applyFont="1" applyBorder="1" applyAlignment="1">
      <alignment horizontal="center"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0" borderId="9" xfId="0" applyFont="1" applyBorder="1" applyAlignment="1">
      <alignment horizontal="center" vertical="center" wrapText="1"/>
    </xf>
    <xf numFmtId="0" fontId="5" fillId="0" borderId="0" xfId="0" applyFont="1" applyBorder="1" applyAlignment="1">
      <alignment horizontal="center" vertical="center" wrapText="1"/>
    </xf>
    <xf numFmtId="0" fontId="0" fillId="0" borderId="9"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20" fillId="0" borderId="0" xfId="1" applyFont="1" applyFill="1" applyAlignment="1">
      <alignment horizontal="center" vertical="center" wrapText="1"/>
    </xf>
    <xf numFmtId="0" fontId="21" fillId="0" borderId="0" xfId="1" applyFont="1" applyFill="1" applyAlignment="1">
      <alignment horizontal="center" vertical="center" wrapText="1"/>
    </xf>
    <xf numFmtId="0" fontId="22" fillId="0" borderId="0" xfId="1" applyFont="1" applyFill="1" applyAlignment="1">
      <alignment horizontal="center" vertical="center" wrapText="1"/>
    </xf>
    <xf numFmtId="49" fontId="13" fillId="0" borderId="10" xfId="1" applyNumberFormat="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3" fillId="0" borderId="12" xfId="1" applyFont="1" applyFill="1" applyBorder="1" applyAlignment="1">
      <alignment horizontal="center" vertical="center" wrapText="1"/>
    </xf>
    <xf numFmtId="49" fontId="13" fillId="0" borderId="13" xfId="1" applyNumberFormat="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3" fillId="0" borderId="3" xfId="1" applyFont="1" applyFill="1" applyBorder="1" applyAlignment="1">
      <alignment horizontal="center" vertical="center" wrapText="1"/>
    </xf>
    <xf numFmtId="49" fontId="23" fillId="0" borderId="14" xfId="1" applyNumberFormat="1" applyFont="1" applyFill="1" applyBorder="1" applyAlignment="1">
      <alignment horizontal="center" vertical="center" wrapText="1"/>
    </xf>
    <xf numFmtId="0" fontId="23" fillId="0" borderId="15" xfId="1" applyFont="1" applyFill="1" applyBorder="1" applyAlignment="1">
      <alignment horizontal="center" vertical="center" wrapText="1"/>
    </xf>
    <xf numFmtId="0" fontId="23" fillId="0" borderId="16" xfId="1" applyFont="1" applyFill="1" applyBorder="1" applyAlignment="1">
      <alignment horizontal="center" vertical="center" wrapText="1"/>
    </xf>
    <xf numFmtId="49" fontId="23" fillId="0" borderId="17" xfId="1" applyNumberFormat="1" applyFont="1" applyFill="1" applyBorder="1" applyAlignment="1">
      <alignment horizontal="center" vertical="center" wrapText="1"/>
    </xf>
    <xf numFmtId="0" fontId="23" fillId="0" borderId="4" xfId="1" applyFont="1" applyFill="1" applyBorder="1" applyAlignment="1">
      <alignment horizontal="center" vertical="center" wrapText="1"/>
    </xf>
    <xf numFmtId="0" fontId="23" fillId="0" borderId="9" xfId="1" applyFont="1" applyFill="1" applyBorder="1" applyAlignment="1">
      <alignment horizontal="center" vertical="center" wrapText="1"/>
    </xf>
    <xf numFmtId="49" fontId="13" fillId="0" borderId="18" xfId="1" applyNumberFormat="1" applyFont="1" applyFill="1" applyBorder="1" applyAlignment="1">
      <alignment horizontal="center" vertical="center" wrapText="1"/>
    </xf>
    <xf numFmtId="0" fontId="24" fillId="0" borderId="1" xfId="1" applyFont="1" applyFill="1" applyBorder="1" applyAlignment="1">
      <alignment horizontal="center" vertical="center" wrapText="1"/>
    </xf>
    <xf numFmtId="0" fontId="13" fillId="0" borderId="1" xfId="1" applyFont="1" applyFill="1" applyBorder="1" applyAlignment="1">
      <alignment horizontal="left" vertical="center"/>
    </xf>
    <xf numFmtId="4" fontId="13" fillId="0" borderId="1" xfId="1" applyNumberFormat="1" applyFont="1" applyFill="1" applyBorder="1" applyAlignment="1">
      <alignment horizontal="right" vertical="center" wrapText="1"/>
    </xf>
    <xf numFmtId="0" fontId="13" fillId="0" borderId="2" xfId="1" applyFont="1" applyFill="1" applyBorder="1" applyAlignment="1">
      <alignment horizontal="left" vertical="center"/>
    </xf>
    <xf numFmtId="0" fontId="13" fillId="0" borderId="3" xfId="1" applyFont="1" applyFill="1" applyBorder="1" applyAlignment="1">
      <alignment horizontal="left" vertical="center"/>
    </xf>
    <xf numFmtId="4" fontId="23" fillId="0" borderId="1" xfId="1" applyNumberFormat="1" applyFont="1" applyFill="1" applyBorder="1" applyAlignment="1">
      <alignment horizontal="right" vertical="center" wrapText="1"/>
    </xf>
    <xf numFmtId="0" fontId="13" fillId="0" borderId="1" xfId="1" applyFont="1" applyFill="1" applyBorder="1" applyAlignment="1">
      <alignment horizontal="center" vertical="center" wrapText="1"/>
    </xf>
    <xf numFmtId="49" fontId="13" fillId="0" borderId="17" xfId="1" applyNumberFormat="1" applyFont="1" applyFill="1" applyBorder="1" applyAlignment="1">
      <alignment horizontal="center" vertical="center" wrapText="1"/>
    </xf>
    <xf numFmtId="0" fontId="13" fillId="0" borderId="4" xfId="1" applyFont="1" applyFill="1" applyBorder="1" applyAlignment="1">
      <alignment horizontal="center" vertical="center" wrapText="1"/>
    </xf>
    <xf numFmtId="4" fontId="23" fillId="0" borderId="4" xfId="1" applyNumberFormat="1" applyFont="1" applyFill="1" applyBorder="1" applyAlignment="1">
      <alignment horizontal="right" vertical="center" wrapText="1"/>
    </xf>
    <xf numFmtId="0" fontId="13" fillId="0" borderId="9" xfId="1" applyFont="1" applyFill="1" applyBorder="1" applyAlignment="1">
      <alignment horizontal="left" vertical="center"/>
    </xf>
    <xf numFmtId="4" fontId="13" fillId="0" borderId="4" xfId="1" applyNumberFormat="1" applyFont="1" applyFill="1" applyBorder="1" applyAlignment="1">
      <alignment horizontal="right" vertical="center" wrapText="1"/>
    </xf>
    <xf numFmtId="49" fontId="13" fillId="0" borderId="19" xfId="1" applyNumberFormat="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22" fillId="0" borderId="21" xfId="1" applyFont="1" applyFill="1" applyBorder="1" applyAlignment="1">
      <alignment horizontal="left" vertical="center"/>
    </xf>
    <xf numFmtId="4" fontId="23" fillId="0" borderId="20" xfId="1" applyNumberFormat="1" applyFont="1" applyFill="1" applyBorder="1" applyAlignment="1">
      <alignment horizontal="right" vertical="center" wrapText="1"/>
    </xf>
    <xf numFmtId="4" fontId="21" fillId="0" borderId="0" xfId="1" applyNumberFormat="1" applyFont="1" applyFill="1" applyAlignment="1">
      <alignment horizontal="center" vertical="center" wrapText="1"/>
    </xf>
    <xf numFmtId="0" fontId="25" fillId="0" borderId="0" xfId="1" applyFont="1" applyFill="1" applyAlignment="1">
      <alignment horizontal="center" vertical="center" wrapText="1"/>
    </xf>
    <xf numFmtId="49" fontId="21" fillId="0" borderId="0" xfId="1" applyNumberFormat="1" applyFont="1" applyFill="1" applyAlignment="1">
      <alignment horizontal="center" vertical="center" wrapText="1"/>
    </xf>
    <xf numFmtId="0" fontId="26" fillId="0" borderId="0" xfId="1" applyFont="1" applyFill="1" applyAlignment="1">
      <alignment horizontal="center" vertical="center" wrapText="1"/>
    </xf>
    <xf numFmtId="0" fontId="23" fillId="0" borderId="0" xfId="8" applyFont="1" applyAlignment="1">
      <alignment horizontal="center" vertical="center" wrapText="1"/>
    </xf>
    <xf numFmtId="0" fontId="27" fillId="0" borderId="0" xfId="8"/>
    <xf numFmtId="0" fontId="28" fillId="0" borderId="0" xfId="5" applyFont="1" applyAlignment="1">
      <alignment horizontal="center"/>
    </xf>
    <xf numFmtId="0" fontId="29" fillId="0" borderId="0" xfId="5" applyFont="1" applyAlignment="1">
      <alignment horizontal="center"/>
    </xf>
    <xf numFmtId="0" fontId="29" fillId="0" borderId="0" xfId="5" applyFont="1" applyBorder="1"/>
    <xf numFmtId="0" fontId="30" fillId="0" borderId="22" xfId="5" applyFont="1" applyBorder="1" applyAlignment="1">
      <alignment horizontal="center" vertical="center" wrapText="1"/>
    </xf>
    <xf numFmtId="0" fontId="30" fillId="0" borderId="23" xfId="5" applyFont="1" applyBorder="1" applyAlignment="1">
      <alignment horizontal="center" vertical="center" wrapText="1"/>
    </xf>
    <xf numFmtId="0" fontId="30" fillId="0" borderId="24" xfId="5" applyFont="1" applyBorder="1" applyAlignment="1">
      <alignment horizontal="center" vertical="center" wrapText="1"/>
    </xf>
    <xf numFmtId="0" fontId="17" fillId="0" borderId="13" xfId="5" applyFont="1" applyBorder="1" applyAlignment="1">
      <alignment horizontal="center"/>
    </xf>
    <xf numFmtId="0" fontId="17" fillId="0" borderId="5" xfId="5" applyFont="1" applyBorder="1" applyAlignment="1">
      <alignment horizontal="center"/>
    </xf>
    <xf numFmtId="0" fontId="17" fillId="0" borderId="25" xfId="5" applyFont="1" applyBorder="1" applyAlignment="1">
      <alignment horizontal="center"/>
    </xf>
    <xf numFmtId="0" fontId="17" fillId="0" borderId="18" xfId="5" applyFont="1" applyBorder="1" applyAlignment="1">
      <alignment horizontal="center" vertical="center" wrapText="1"/>
    </xf>
    <xf numFmtId="0" fontId="30" fillId="0" borderId="1" xfId="5" applyFont="1" applyBorder="1" applyAlignment="1">
      <alignment horizontal="center" vertical="center" wrapText="1"/>
    </xf>
    <xf numFmtId="4" fontId="17" fillId="0" borderId="26" xfId="5" applyNumberFormat="1" applyFont="1" applyBorder="1" applyAlignment="1">
      <alignment horizontal="right" vertical="center" wrapText="1"/>
    </xf>
    <xf numFmtId="0" fontId="17" fillId="0" borderId="19" xfId="5" applyFont="1" applyBorder="1" applyAlignment="1">
      <alignment horizontal="center" vertical="center" wrapText="1"/>
    </xf>
    <xf numFmtId="0" fontId="17" fillId="0" borderId="20" xfId="5" applyFont="1" applyBorder="1" applyAlignment="1">
      <alignment vertical="center" wrapText="1"/>
    </xf>
    <xf numFmtId="0" fontId="29" fillId="0" borderId="20" xfId="5" applyFont="1" applyBorder="1" applyAlignment="1">
      <alignment horizontal="center" vertical="center" wrapText="1"/>
    </xf>
    <xf numFmtId="4" fontId="31" fillId="0" borderId="27" xfId="5" applyNumberFormat="1" applyFont="1" applyBorder="1" applyAlignment="1">
      <alignment horizontal="right" vertical="center" wrapText="1"/>
    </xf>
    <xf numFmtId="4" fontId="27" fillId="0" borderId="0" xfId="8" applyNumberFormat="1"/>
    <xf numFmtId="0" fontId="18" fillId="0" borderId="0" xfId="8" applyFont="1" applyAlignment="1">
      <alignment horizontal="center" vertical="center" wrapText="1"/>
    </xf>
    <xf numFmtId="0" fontId="23" fillId="0" borderId="0" xfId="5" applyFont="1" applyFill="1" applyAlignment="1">
      <alignment horizontal="center" vertical="center" wrapText="1"/>
    </xf>
    <xf numFmtId="0" fontId="29" fillId="0" borderId="0" xfId="5" applyFont="1" applyFill="1" applyAlignment="1">
      <alignment horizontal="center"/>
    </xf>
    <xf numFmtId="0" fontId="21" fillId="0" borderId="0" xfId="5" applyFont="1" applyFill="1"/>
    <xf numFmtId="0" fontId="21" fillId="0" borderId="0" xfId="5" applyFont="1" applyFill="1" applyAlignment="1"/>
    <xf numFmtId="0" fontId="21" fillId="0" borderId="0" xfId="5" applyFont="1" applyFill="1" applyAlignment="1">
      <alignment horizontal="center"/>
    </xf>
    <xf numFmtId="0" fontId="12" fillId="0" borderId="1" xfId="5" applyFont="1" applyFill="1" applyBorder="1" applyAlignment="1">
      <alignment vertical="center" wrapText="1"/>
    </xf>
    <xf numFmtId="0" fontId="12" fillId="0" borderId="4" xfId="5" applyFont="1" applyFill="1" applyBorder="1" applyAlignment="1">
      <alignment horizontal="center" vertical="center" wrapText="1"/>
    </xf>
    <xf numFmtId="0" fontId="13" fillId="0" borderId="1" xfId="5" applyFont="1" applyFill="1" applyBorder="1" applyAlignment="1">
      <alignment horizontal="center"/>
    </xf>
    <xf numFmtId="0" fontId="23" fillId="0" borderId="1" xfId="5" applyFont="1" applyFill="1" applyBorder="1" applyAlignment="1">
      <alignment horizontal="center"/>
    </xf>
    <xf numFmtId="0" fontId="13" fillId="0" borderId="1" xfId="5" applyFont="1" applyFill="1" applyBorder="1" applyAlignment="1">
      <alignment horizontal="center" vertical="center" wrapText="1"/>
    </xf>
    <xf numFmtId="0" fontId="14" fillId="0" borderId="1" xfId="5" applyFont="1" applyFill="1" applyBorder="1" applyAlignment="1">
      <alignment horizontal="center" vertical="center" wrapText="1"/>
    </xf>
    <xf numFmtId="0" fontId="13" fillId="0" borderId="1" xfId="5" applyFont="1" applyFill="1" applyBorder="1" applyAlignment="1">
      <alignment horizontal="left" vertical="center" wrapText="1"/>
    </xf>
    <xf numFmtId="2" fontId="13" fillId="0" borderId="1" xfId="5" applyNumberFormat="1" applyFont="1" applyFill="1" applyBorder="1" applyAlignment="1">
      <alignment horizontal="right" vertical="center" wrapText="1"/>
    </xf>
    <xf numFmtId="0" fontId="13" fillId="0" borderId="1" xfId="9" applyFont="1" applyFill="1" applyBorder="1" applyAlignment="1">
      <alignment horizontal="center" vertical="center" wrapText="1"/>
    </xf>
    <xf numFmtId="164" fontId="13" fillId="0" borderId="1" xfId="5" applyNumberFormat="1" applyFont="1" applyFill="1" applyBorder="1" applyAlignment="1">
      <alignment horizontal="center" vertical="center" wrapText="1"/>
    </xf>
    <xf numFmtId="2" fontId="13" fillId="0" borderId="1" xfId="5" applyNumberFormat="1" applyFont="1" applyFill="1" applyBorder="1" applyAlignment="1">
      <alignment horizontal="center" vertical="center" wrapText="1"/>
    </xf>
    <xf numFmtId="0" fontId="23" fillId="0" borderId="1" xfId="5" applyFont="1" applyFill="1" applyBorder="1" applyAlignment="1">
      <alignment horizontal="left" vertical="center" wrapText="1"/>
    </xf>
    <xf numFmtId="165" fontId="23" fillId="0" borderId="1" xfId="10" applyFont="1" applyFill="1" applyBorder="1" applyAlignment="1">
      <alignment horizontal="center" vertical="center" wrapText="1"/>
    </xf>
    <xf numFmtId="2" fontId="23" fillId="0" borderId="1" xfId="5" applyNumberFormat="1" applyFont="1" applyFill="1" applyBorder="1" applyAlignment="1">
      <alignment horizontal="right" vertical="center" wrapText="1"/>
    </xf>
    <xf numFmtId="2" fontId="13" fillId="0" borderId="28" xfId="5" applyNumberFormat="1" applyFont="1" applyFill="1" applyBorder="1" applyAlignment="1">
      <alignment horizontal="right" vertical="center"/>
    </xf>
    <xf numFmtId="0" fontId="13" fillId="0" borderId="1" xfId="5" applyFont="1" applyBorder="1" applyAlignment="1">
      <alignment horizontal="left" vertical="center" wrapText="1"/>
    </xf>
    <xf numFmtId="0" fontId="13" fillId="0" borderId="1" xfId="9" applyFont="1" applyBorder="1" applyAlignment="1">
      <alignment horizontal="center" vertical="center" wrapText="1"/>
    </xf>
    <xf numFmtId="2" fontId="13" fillId="0" borderId="1" xfId="5" applyNumberFormat="1" applyFont="1" applyBorder="1" applyAlignment="1">
      <alignment horizontal="center" vertical="center" wrapText="1"/>
    </xf>
    <xf numFmtId="2" fontId="35" fillId="0" borderId="1" xfId="11" applyNumberFormat="1" applyFont="1" applyBorder="1" applyAlignment="1">
      <alignment horizontal="left"/>
    </xf>
    <xf numFmtId="2" fontId="37" fillId="0" borderId="1" xfId="11" applyNumberFormat="1" applyFont="1" applyBorder="1" applyAlignment="1">
      <alignment horizontal="left"/>
    </xf>
    <xf numFmtId="164" fontId="13" fillId="0" borderId="1" xfId="5" applyNumberFormat="1" applyFont="1" applyBorder="1" applyAlignment="1">
      <alignment horizontal="center" vertical="center" wrapText="1"/>
    </xf>
    <xf numFmtId="0" fontId="13" fillId="0" borderId="1" xfId="8" applyFont="1" applyBorder="1" applyAlignment="1">
      <alignment horizontal="left" vertical="center" wrapText="1"/>
    </xf>
    <xf numFmtId="164" fontId="13" fillId="0" borderId="1" xfId="8" applyNumberFormat="1" applyFont="1" applyBorder="1" applyAlignment="1">
      <alignment horizontal="center" vertical="center" wrapText="1"/>
    </xf>
    <xf numFmtId="2" fontId="13" fillId="2" borderId="1" xfId="8" quotePrefix="1" applyNumberFormat="1" applyFont="1" applyFill="1" applyBorder="1" applyAlignment="1">
      <alignment horizontal="center" vertical="center" wrapText="1"/>
    </xf>
    <xf numFmtId="0" fontId="39" fillId="0" borderId="1" xfId="5" applyFont="1" applyBorder="1" applyAlignment="1">
      <alignment horizontal="left" vertical="center" wrapText="1"/>
    </xf>
    <xf numFmtId="2" fontId="37" fillId="2" borderId="1" xfId="8" applyNumberFormat="1" applyFont="1" applyFill="1" applyBorder="1" applyAlignment="1">
      <alignment horizontal="center" vertical="center"/>
    </xf>
    <xf numFmtId="0" fontId="37" fillId="0" borderId="1" xfId="8" applyFont="1" applyBorder="1" applyAlignment="1">
      <alignment horizontal="left"/>
    </xf>
    <xf numFmtId="2" fontId="37" fillId="0" borderId="1" xfId="8" applyNumberFormat="1" applyFont="1" applyBorder="1" applyAlignment="1">
      <alignment horizontal="center"/>
    </xf>
    <xf numFmtId="0" fontId="13" fillId="0" borderId="1" xfId="5" applyFont="1" applyFill="1" applyBorder="1" applyAlignment="1">
      <alignment vertical="center" wrapText="1"/>
    </xf>
    <xf numFmtId="0" fontId="23" fillId="0" borderId="1" xfId="5" applyFont="1" applyFill="1" applyBorder="1" applyAlignment="1">
      <alignment horizontal="center" vertical="center" wrapText="1"/>
    </xf>
    <xf numFmtId="164" fontId="23" fillId="0" borderId="1" xfId="5" applyNumberFormat="1" applyFont="1" applyFill="1" applyBorder="1" applyAlignment="1">
      <alignment horizontal="center" vertical="center" wrapText="1"/>
    </xf>
    <xf numFmtId="0" fontId="13" fillId="0" borderId="4" xfId="5" applyFont="1" applyFill="1" applyBorder="1" applyAlignment="1">
      <alignment horizontal="center" vertical="center" wrapText="1"/>
    </xf>
    <xf numFmtId="164" fontId="13" fillId="0" borderId="4" xfId="5" applyNumberFormat="1" applyFont="1" applyFill="1" applyBorder="1" applyAlignment="1">
      <alignment horizontal="center" vertical="center" wrapText="1"/>
    </xf>
    <xf numFmtId="2" fontId="13" fillId="0" borderId="4" xfId="5" applyNumberFormat="1" applyFont="1" applyFill="1" applyBorder="1" applyAlignment="1">
      <alignment horizontal="right" vertical="center" wrapText="1"/>
    </xf>
    <xf numFmtId="0" fontId="13" fillId="0" borderId="2" xfId="9" applyFont="1" applyBorder="1" applyAlignment="1">
      <alignment horizontal="left" vertical="center" wrapText="1"/>
    </xf>
    <xf numFmtId="0" fontId="13" fillId="0" borderId="7" xfId="5" applyFont="1" applyFill="1" applyBorder="1" applyAlignment="1">
      <alignment horizontal="left" vertical="center"/>
    </xf>
    <xf numFmtId="0" fontId="27" fillId="0" borderId="0" xfId="8" applyFill="1"/>
    <xf numFmtId="0" fontId="40" fillId="0" borderId="0" xfId="2" applyNumberFormat="1" applyFont="1" applyBorder="1" applyAlignment="1">
      <alignment horizontal="center" vertical="center" wrapText="1"/>
    </xf>
    <xf numFmtId="0" fontId="41" fillId="0" borderId="0" xfId="2" applyFont="1" applyAlignment="1">
      <alignment vertical="top" wrapText="1"/>
    </xf>
    <xf numFmtId="0" fontId="40" fillId="0" borderId="0" xfId="2" applyFont="1" applyAlignment="1">
      <alignment horizontal="center" vertical="center"/>
    </xf>
    <xf numFmtId="0" fontId="6" fillId="0" borderId="0" xfId="2" applyAlignment="1">
      <alignment vertical="center"/>
    </xf>
    <xf numFmtId="0" fontId="42" fillId="0" borderId="0" xfId="2" applyFont="1" applyBorder="1" applyAlignment="1">
      <alignment vertical="center" wrapText="1"/>
    </xf>
    <xf numFmtId="0" fontId="41" fillId="0" borderId="0" xfId="2" applyFont="1" applyAlignment="1">
      <alignment vertical="center" wrapText="1"/>
    </xf>
    <xf numFmtId="0" fontId="42" fillId="0" borderId="29" xfId="2" applyFont="1" applyBorder="1" applyAlignment="1">
      <alignment horizontal="center" vertical="center" textRotation="90" wrapText="1"/>
    </xf>
    <xf numFmtId="0" fontId="42" fillId="0" borderId="29" xfId="2" quotePrefix="1" applyFont="1" applyBorder="1" applyAlignment="1">
      <alignment horizontal="center" vertical="center" wrapText="1"/>
    </xf>
    <xf numFmtId="0" fontId="43" fillId="0" borderId="29" xfId="2" applyFont="1" applyBorder="1" applyAlignment="1">
      <alignment horizontal="center" vertical="center" wrapText="1"/>
    </xf>
    <xf numFmtId="0" fontId="42" fillId="0" borderId="30" xfId="2" applyFont="1" applyBorder="1" applyAlignment="1">
      <alignment horizontal="center" vertical="center" wrapText="1"/>
    </xf>
    <xf numFmtId="0" fontId="44" fillId="0" borderId="0" xfId="2" applyFont="1" applyAlignment="1">
      <alignment vertical="center" wrapText="1"/>
    </xf>
    <xf numFmtId="0" fontId="45" fillId="0" borderId="31" xfId="2" quotePrefix="1" applyFont="1" applyBorder="1" applyAlignment="1">
      <alignment horizontal="center" wrapText="1"/>
    </xf>
    <xf numFmtId="0" fontId="46" fillId="3" borderId="30" xfId="2" quotePrefix="1" applyFont="1" applyFill="1" applyBorder="1" applyAlignment="1">
      <alignment horizontal="center" wrapText="1"/>
    </xf>
    <xf numFmtId="0" fontId="46" fillId="3" borderId="22" xfId="2" quotePrefix="1" applyFont="1" applyFill="1" applyBorder="1" applyAlignment="1">
      <alignment horizontal="center" wrapText="1"/>
    </xf>
    <xf numFmtId="0" fontId="44" fillId="0" borderId="0" xfId="2" applyFont="1" applyAlignment="1">
      <alignment wrapText="1"/>
    </xf>
    <xf numFmtId="0" fontId="42" fillId="0" borderId="31" xfId="2" applyFont="1" applyBorder="1" applyAlignment="1">
      <alignment horizontal="center" wrapText="1"/>
    </xf>
    <xf numFmtId="0" fontId="42" fillId="0" borderId="32" xfId="2" applyFont="1" applyBorder="1" applyAlignment="1">
      <alignment vertical="center" wrapText="1"/>
    </xf>
    <xf numFmtId="0" fontId="47" fillId="0" borderId="32" xfId="2" applyFont="1" applyBorder="1" applyAlignment="1">
      <alignment horizontal="center" vertical="center" wrapText="1"/>
    </xf>
    <xf numFmtId="0" fontId="48" fillId="0" borderId="33" xfId="2" applyFont="1" applyBorder="1" applyAlignment="1">
      <alignment wrapText="1"/>
    </xf>
    <xf numFmtId="0" fontId="42" fillId="0" borderId="31" xfId="2" applyFont="1" applyBorder="1" applyAlignment="1">
      <alignment horizontal="center" vertical="center" wrapText="1"/>
    </xf>
    <xf numFmtId="0" fontId="49" fillId="0" borderId="31" xfId="2" applyFont="1" applyBorder="1" applyAlignment="1">
      <alignment horizontal="center" vertical="center" wrapText="1"/>
    </xf>
    <xf numFmtId="0" fontId="50" fillId="0" borderId="31" xfId="2" applyFont="1" applyBorder="1" applyAlignment="1">
      <alignment horizontal="left" vertical="center" wrapText="1"/>
    </xf>
    <xf numFmtId="2" fontId="50" fillId="0" borderId="31" xfId="2" applyNumberFormat="1" applyFont="1" applyBorder="1" applyAlignment="1">
      <alignment horizontal="center" vertical="center" wrapText="1"/>
    </xf>
    <xf numFmtId="166" fontId="44" fillId="0" borderId="0" xfId="2" applyNumberFormat="1" applyFont="1" applyAlignment="1">
      <alignment wrapText="1"/>
    </xf>
    <xf numFmtId="0" fontId="44" fillId="0" borderId="0" xfId="2" applyFont="1" applyBorder="1" applyAlignment="1">
      <alignment wrapText="1"/>
    </xf>
    <xf numFmtId="0" fontId="43" fillId="0" borderId="31" xfId="2" applyFont="1" applyBorder="1" applyAlignment="1">
      <alignment horizontal="center" vertical="center" wrapText="1"/>
    </xf>
    <xf numFmtId="0" fontId="50" fillId="0" borderId="31" xfId="2" applyFont="1" applyBorder="1" applyAlignment="1">
      <alignment horizontal="left" vertical="center"/>
    </xf>
    <xf numFmtId="0" fontId="43" fillId="0" borderId="0" xfId="2" applyFont="1"/>
    <xf numFmtId="2" fontId="43" fillId="0" borderId="0" xfId="2" applyNumberFormat="1" applyFont="1"/>
    <xf numFmtId="0" fontId="42" fillId="0" borderId="34" xfId="2" applyFont="1" applyBorder="1" applyAlignment="1">
      <alignment horizontal="center" vertical="center" wrapText="1"/>
    </xf>
    <xf numFmtId="0" fontId="50" fillId="0" borderId="34" xfId="2" applyFont="1" applyBorder="1" applyAlignment="1">
      <alignment horizontal="right" vertical="center" wrapText="1"/>
    </xf>
    <xf numFmtId="2" fontId="50" fillId="0" borderId="34" xfId="2" applyNumberFormat="1" applyFont="1" applyBorder="1" applyAlignment="1">
      <alignment horizontal="center" vertical="center" wrapText="1"/>
    </xf>
    <xf numFmtId="0" fontId="6" fillId="0" borderId="0" xfId="2" applyAlignment="1">
      <alignment wrapText="1"/>
    </xf>
    <xf numFmtId="0" fontId="47" fillId="0" borderId="0" xfId="2" applyNumberFormat="1" applyFont="1" applyBorder="1" applyAlignment="1">
      <alignment horizontal="center" vertical="center" wrapText="1"/>
    </xf>
    <xf numFmtId="0" fontId="6" fillId="0" borderId="0" xfId="2" applyAlignment="1">
      <alignment vertical="top" wrapText="1"/>
    </xf>
    <xf numFmtId="0" fontId="47" fillId="0" borderId="0" xfId="8" applyNumberFormat="1" applyFont="1" applyBorder="1" applyAlignment="1">
      <alignment horizontal="center" vertical="center"/>
    </xf>
    <xf numFmtId="0" fontId="51" fillId="0" borderId="0" xfId="8" applyFont="1"/>
    <xf numFmtId="0" fontId="50" fillId="0" borderId="0" xfId="8" applyNumberFormat="1" applyFont="1" applyAlignment="1">
      <alignment horizontal="center" vertical="center"/>
    </xf>
    <xf numFmtId="0" fontId="49" fillId="0" borderId="29" xfId="8" applyNumberFormat="1" applyFont="1" applyBorder="1" applyAlignment="1">
      <alignment horizontal="center" vertical="center" textRotation="90" wrapText="1"/>
    </xf>
    <xf numFmtId="0" fontId="49" fillId="0" borderId="35" xfId="8" applyNumberFormat="1" applyFont="1" applyBorder="1" applyAlignment="1">
      <alignment horizontal="center" vertical="center" wrapText="1"/>
    </xf>
    <xf numFmtId="0" fontId="49" fillId="0" borderId="29" xfId="8" applyNumberFormat="1" applyFont="1" applyBorder="1" applyAlignment="1">
      <alignment horizontal="center" vertical="center" wrapText="1"/>
    </xf>
    <xf numFmtId="0" fontId="49" fillId="4" borderId="30" xfId="8" applyNumberFormat="1" applyFont="1" applyFill="1" applyBorder="1" applyAlignment="1">
      <alignment horizontal="center"/>
    </xf>
    <xf numFmtId="0" fontId="49" fillId="4" borderId="36" xfId="8" applyNumberFormat="1" applyFont="1" applyFill="1" applyBorder="1" applyAlignment="1">
      <alignment horizontal="center"/>
    </xf>
    <xf numFmtId="0" fontId="42" fillId="0" borderId="32" xfId="8" applyNumberFormat="1" applyFont="1" applyBorder="1" applyAlignment="1">
      <alignment horizontal="center" vertical="center"/>
    </xf>
    <xf numFmtId="49" fontId="49" fillId="0" borderId="6" xfId="8" applyNumberFormat="1" applyFont="1" applyBorder="1" applyAlignment="1">
      <alignment horizontal="center"/>
    </xf>
    <xf numFmtId="0" fontId="47" fillId="0" borderId="32" xfId="8" applyFont="1" applyBorder="1" applyAlignment="1">
      <alignment horizontal="left" vertical="center"/>
    </xf>
    <xf numFmtId="2" fontId="50" fillId="0" borderId="32" xfId="8" applyNumberFormat="1" applyFont="1" applyBorder="1" applyAlignment="1">
      <alignment horizontal="center" vertical="center"/>
    </xf>
    <xf numFmtId="49" fontId="42" fillId="0" borderId="31" xfId="8" applyNumberFormat="1" applyFont="1" applyBorder="1" applyAlignment="1">
      <alignment horizontal="center" vertical="center" wrapText="1"/>
    </xf>
    <xf numFmtId="49" fontId="49" fillId="0" borderId="7" xfId="8" applyNumberFormat="1" applyFont="1" applyBorder="1" applyAlignment="1">
      <alignment horizontal="center" vertical="center" wrapText="1"/>
    </xf>
    <xf numFmtId="0" fontId="47" fillId="0" borderId="32" xfId="8" applyFont="1" applyBorder="1" applyAlignment="1">
      <alignment horizontal="left" vertical="center" wrapText="1"/>
    </xf>
    <xf numFmtId="2" fontId="50" fillId="0" borderId="31" xfId="8" applyNumberFormat="1" applyFont="1" applyBorder="1" applyAlignment="1">
      <alignment horizontal="center" vertical="center" wrapText="1"/>
    </xf>
    <xf numFmtId="0" fontId="51" fillId="0" borderId="0" xfId="8" applyFont="1" applyAlignment="1">
      <alignment vertical="center" wrapText="1"/>
    </xf>
    <xf numFmtId="0" fontId="42" fillId="0" borderId="31" xfId="8" applyNumberFormat="1" applyFont="1" applyBorder="1" applyAlignment="1">
      <alignment horizontal="center" vertical="center"/>
    </xf>
    <xf numFmtId="0" fontId="47" fillId="0" borderId="31" xfId="8" applyFont="1" applyBorder="1" applyAlignment="1">
      <alignment horizontal="left" vertical="center"/>
    </xf>
    <xf numFmtId="0" fontId="47" fillId="0" borderId="31" xfId="8" applyFont="1" applyBorder="1" applyAlignment="1">
      <alignment horizontal="left" vertical="center" wrapText="1"/>
    </xf>
    <xf numFmtId="49" fontId="42" fillId="0" borderId="34" xfId="8" applyNumberFormat="1" applyFont="1" applyBorder="1" applyAlignment="1">
      <alignment horizontal="center" vertical="top" wrapText="1"/>
    </xf>
    <xf numFmtId="49" fontId="43" fillId="0" borderId="37" xfId="8" applyNumberFormat="1" applyFont="1" applyBorder="1" applyAlignment="1">
      <alignment horizontal="center" vertical="top" wrapText="1"/>
    </xf>
    <xf numFmtId="0" fontId="50" fillId="0" borderId="34" xfId="8" applyNumberFormat="1" applyFont="1" applyBorder="1" applyAlignment="1">
      <alignment horizontal="right" vertical="top" wrapText="1"/>
    </xf>
    <xf numFmtId="2" fontId="50" fillId="0" borderId="34" xfId="8" applyNumberFormat="1" applyFont="1" applyBorder="1" applyAlignment="1">
      <alignment horizontal="center" vertical="top" wrapText="1"/>
    </xf>
    <xf numFmtId="0" fontId="21" fillId="0" borderId="0" xfId="8" applyFont="1" applyBorder="1"/>
    <xf numFmtId="0" fontId="21" fillId="0" borderId="0" xfId="8" applyFont="1"/>
    <xf numFmtId="0" fontId="6" fillId="0" borderId="0" xfId="8" applyFont="1"/>
    <xf numFmtId="0" fontId="52" fillId="0" borderId="0" xfId="8" applyFont="1"/>
    <xf numFmtId="3" fontId="54" fillId="0" borderId="0" xfId="12" applyNumberFormat="1" applyFont="1" applyFill="1" applyAlignment="1">
      <alignment horizontal="center" vertical="center" wrapText="1"/>
    </xf>
    <xf numFmtId="3" fontId="55" fillId="0" borderId="0" xfId="12" applyNumberFormat="1" applyFont="1" applyFill="1" applyAlignment="1">
      <alignment horizontal="center" vertical="center" wrapText="1"/>
    </xf>
    <xf numFmtId="3" fontId="55" fillId="0" borderId="0" xfId="12" applyNumberFormat="1" applyFont="1" applyFill="1" applyBorder="1" applyAlignment="1">
      <alignment horizontal="center" vertical="center" wrapText="1"/>
    </xf>
    <xf numFmtId="2" fontId="47" fillId="0" borderId="0" xfId="2" applyNumberFormat="1" applyFont="1" applyBorder="1" applyAlignment="1">
      <alignment horizontal="center" vertical="center" wrapText="1"/>
    </xf>
    <xf numFmtId="2" fontId="6" fillId="0" borderId="0" xfId="2" applyNumberFormat="1" applyAlignment="1">
      <alignment vertical="center" wrapText="1"/>
    </xf>
    <xf numFmtId="2" fontId="47" fillId="0" borderId="0" xfId="8" applyNumberFormat="1" applyFont="1" applyAlignment="1">
      <alignment horizontal="center" vertical="center"/>
    </xf>
    <xf numFmtId="2" fontId="42" fillId="0" borderId="0" xfId="8" applyNumberFormat="1" applyFont="1"/>
    <xf numFmtId="2" fontId="42" fillId="0" borderId="0" xfId="8" applyNumberFormat="1" applyFont="1" applyAlignment="1">
      <alignment vertical="top"/>
    </xf>
    <xf numFmtId="2" fontId="50" fillId="0" borderId="0" xfId="8" applyNumberFormat="1" applyFont="1" applyBorder="1" applyAlignment="1">
      <alignment horizontal="center" wrapText="1"/>
    </xf>
    <xf numFmtId="2" fontId="56" fillId="0" borderId="0" xfId="8" applyNumberFormat="1" applyFont="1"/>
    <xf numFmtId="2" fontId="37" fillId="2" borderId="33" xfId="8" applyNumberFormat="1" applyFont="1" applyFill="1" applyBorder="1" applyAlignment="1">
      <alignment horizontal="center" vertical="center" textRotation="90" wrapText="1"/>
    </xf>
    <xf numFmtId="2" fontId="37" fillId="0" borderId="35" xfId="8" applyNumberFormat="1" applyFont="1" applyBorder="1" applyAlignment="1">
      <alignment horizontal="center" vertical="center" wrapText="1"/>
    </xf>
    <xf numFmtId="2" fontId="37" fillId="2" borderId="29" xfId="8" applyNumberFormat="1" applyFont="1" applyFill="1" applyBorder="1" applyAlignment="1">
      <alignment horizontal="center" vertical="center" textRotation="90" wrapText="1"/>
    </xf>
    <xf numFmtId="2" fontId="37" fillId="0" borderId="35" xfId="8" applyNumberFormat="1" applyFont="1" applyFill="1" applyBorder="1" applyAlignment="1">
      <alignment horizontal="center" vertical="center" textRotation="90" wrapText="1"/>
    </xf>
    <xf numFmtId="2" fontId="37" fillId="2" borderId="29" xfId="8" applyNumberFormat="1" applyFont="1" applyFill="1" applyBorder="1" applyAlignment="1">
      <alignment horizontal="center" vertical="center" wrapText="1"/>
    </xf>
    <xf numFmtId="2" fontId="37" fillId="0" borderId="0" xfId="8" applyNumberFormat="1" applyFont="1"/>
    <xf numFmtId="2" fontId="37" fillId="2" borderId="34" xfId="8" applyNumberFormat="1" applyFont="1" applyFill="1" applyBorder="1" applyAlignment="1">
      <alignment horizontal="center" vertical="center" textRotation="90" wrapText="1"/>
    </xf>
    <xf numFmtId="2" fontId="37" fillId="0" borderId="38" xfId="8" applyNumberFormat="1" applyFont="1" applyBorder="1" applyAlignment="1">
      <alignment horizontal="center" vertical="center" wrapText="1"/>
    </xf>
    <xf numFmtId="2" fontId="37" fillId="2" borderId="39" xfId="8" applyNumberFormat="1" applyFont="1" applyFill="1" applyBorder="1" applyAlignment="1">
      <alignment horizontal="center" vertical="center" textRotation="90" wrapText="1"/>
    </xf>
    <xf numFmtId="2" fontId="37" fillId="0" borderId="38" xfId="8" applyNumberFormat="1" applyFont="1" applyFill="1" applyBorder="1" applyAlignment="1">
      <alignment horizontal="center" vertical="center" textRotation="90" wrapText="1"/>
    </xf>
    <xf numFmtId="2" fontId="37" fillId="2" borderId="39" xfId="8" applyNumberFormat="1" applyFont="1" applyFill="1" applyBorder="1" applyAlignment="1">
      <alignment horizontal="center" vertical="center" wrapText="1"/>
    </xf>
    <xf numFmtId="2" fontId="12" fillId="4" borderId="29" xfId="8" quotePrefix="1" applyNumberFormat="1" applyFont="1" applyFill="1" applyBorder="1" applyAlignment="1">
      <alignment horizontal="center" vertical="center" wrapText="1"/>
    </xf>
    <xf numFmtId="1" fontId="12" fillId="4" borderId="35" xfId="8" quotePrefix="1" applyNumberFormat="1" applyFont="1" applyFill="1" applyBorder="1" applyAlignment="1">
      <alignment horizontal="center" vertical="center" wrapText="1"/>
    </xf>
    <xf numFmtId="1" fontId="12" fillId="4" borderId="29" xfId="8" quotePrefix="1" applyNumberFormat="1" applyFont="1" applyFill="1" applyBorder="1" applyAlignment="1">
      <alignment horizontal="center" vertical="center" wrapText="1"/>
    </xf>
    <xf numFmtId="2" fontId="37" fillId="0" borderId="0" xfId="8" applyNumberFormat="1" applyFont="1" applyAlignment="1">
      <alignment vertical="top" wrapText="1"/>
    </xf>
    <xf numFmtId="2" fontId="13" fillId="2" borderId="1" xfId="13" applyNumberFormat="1" applyFont="1" applyFill="1" applyBorder="1" applyAlignment="1">
      <alignment horizontal="center" vertical="center"/>
    </xf>
    <xf numFmtId="2" fontId="12" fillId="2" borderId="1" xfId="13" applyNumberFormat="1" applyFont="1" applyFill="1" applyBorder="1" applyAlignment="1">
      <alignment horizontal="center" vertical="center"/>
    </xf>
    <xf numFmtId="2" fontId="13" fillId="2" borderId="1" xfId="13" applyNumberFormat="1" applyFont="1" applyFill="1" applyBorder="1" applyAlignment="1">
      <alignment vertical="center"/>
    </xf>
    <xf numFmtId="2" fontId="13" fillId="2" borderId="0" xfId="13" applyNumberFormat="1" applyFont="1" applyFill="1" applyAlignment="1">
      <alignment vertical="center"/>
    </xf>
    <xf numFmtId="1" fontId="37" fillId="0" borderId="1" xfId="11" applyNumberFormat="1" applyFont="1" applyBorder="1" applyAlignment="1">
      <alignment horizontal="center" vertical="center" wrapText="1"/>
    </xf>
    <xf numFmtId="2" fontId="37" fillId="0" borderId="1" xfId="11" applyNumberFormat="1" applyFont="1" applyBorder="1" applyAlignment="1">
      <alignment horizontal="left" vertical="center" wrapText="1"/>
    </xf>
    <xf numFmtId="2" fontId="37" fillId="0" borderId="1" xfId="11" applyNumberFormat="1" applyFont="1" applyBorder="1" applyAlignment="1">
      <alignment horizontal="center" vertical="center" wrapText="1"/>
    </xf>
    <xf numFmtId="2" fontId="37" fillId="0" borderId="0" xfId="11" applyNumberFormat="1" applyFont="1" applyAlignment="1">
      <alignment vertical="center" wrapText="1"/>
    </xf>
    <xf numFmtId="2" fontId="37" fillId="0" borderId="0" xfId="11" applyNumberFormat="1" applyFont="1" applyAlignment="1">
      <alignment horizontal="center" vertical="center" wrapText="1"/>
    </xf>
    <xf numFmtId="1" fontId="37" fillId="0" borderId="1" xfId="11" applyNumberFormat="1" applyFont="1" applyBorder="1" applyAlignment="1">
      <alignment horizontal="center" vertical="center"/>
    </xf>
    <xf numFmtId="2" fontId="37" fillId="0" borderId="1" xfId="11" applyNumberFormat="1" applyFont="1" applyBorder="1" applyAlignment="1">
      <alignment horizontal="center" vertical="center"/>
    </xf>
    <xf numFmtId="2" fontId="37" fillId="0" borderId="0" xfId="11" applyNumberFormat="1" applyFont="1" applyAlignment="1">
      <alignment vertical="center"/>
    </xf>
    <xf numFmtId="1" fontId="37" fillId="2" borderId="1" xfId="13" applyNumberFormat="1" applyFont="1" applyFill="1" applyBorder="1" applyAlignment="1">
      <alignment horizontal="center" vertical="center"/>
    </xf>
    <xf numFmtId="2" fontId="37" fillId="0" borderId="1" xfId="14" applyNumberFormat="1" applyFont="1" applyBorder="1" applyAlignment="1">
      <alignment horizontal="center" vertical="center" wrapText="1"/>
    </xf>
    <xf numFmtId="1" fontId="37" fillId="0" borderId="1" xfId="11" applyNumberFormat="1" applyFont="1" applyBorder="1" applyAlignment="1">
      <alignment horizontal="center"/>
    </xf>
    <xf numFmtId="2" fontId="37" fillId="0" borderId="1" xfId="11" applyNumberFormat="1" applyFont="1" applyBorder="1" applyAlignment="1">
      <alignment horizontal="center"/>
    </xf>
    <xf numFmtId="2" fontId="37" fillId="0" borderId="0" xfId="11" applyNumberFormat="1" applyFont="1" applyAlignment="1">
      <alignment horizontal="center"/>
    </xf>
    <xf numFmtId="2" fontId="37" fillId="0" borderId="1" xfId="14" applyNumberFormat="1" applyFont="1" applyBorder="1" applyAlignment="1">
      <alignment horizontal="center"/>
    </xf>
    <xf numFmtId="2" fontId="37" fillId="0" borderId="0" xfId="11" applyNumberFormat="1" applyFont="1"/>
    <xf numFmtId="1" fontId="57" fillId="0" borderId="1" xfId="11" applyNumberFormat="1" applyFont="1" applyBorder="1" applyAlignment="1">
      <alignment horizontal="center" vertical="center" wrapText="1"/>
    </xf>
    <xf numFmtId="2" fontId="37" fillId="0" borderId="1" xfId="11" applyNumberFormat="1" applyFont="1" applyBorder="1" applyAlignment="1">
      <alignment vertical="center" wrapText="1"/>
    </xf>
    <xf numFmtId="2" fontId="37" fillId="0" borderId="1" xfId="14" applyNumberFormat="1" applyFont="1" applyBorder="1" applyAlignment="1">
      <alignment horizontal="center" vertical="center"/>
    </xf>
    <xf numFmtId="2" fontId="13" fillId="0" borderId="0" xfId="11" applyNumberFormat="1" applyFont="1" applyAlignment="1">
      <alignment horizontal="center" vertical="center"/>
    </xf>
    <xf numFmtId="1" fontId="37" fillId="2" borderId="1" xfId="11" applyNumberFormat="1" applyFont="1" applyFill="1" applyBorder="1" applyAlignment="1">
      <alignment horizontal="center" vertical="center"/>
    </xf>
    <xf numFmtId="2" fontId="13" fillId="0" borderId="0" xfId="11" applyNumberFormat="1" applyFont="1" applyAlignment="1">
      <alignment horizontal="center" vertical="center" wrapText="1"/>
    </xf>
    <xf numFmtId="2" fontId="37" fillId="2" borderId="1" xfId="11" applyNumberFormat="1" applyFont="1" applyFill="1" applyBorder="1" applyAlignment="1">
      <alignment horizontal="center" vertical="center" wrapText="1"/>
    </xf>
    <xf numFmtId="1" fontId="37" fillId="2" borderId="1" xfId="11" applyNumberFormat="1" applyFont="1" applyFill="1" applyBorder="1" applyAlignment="1">
      <alignment horizontal="center" vertical="center" wrapText="1"/>
    </xf>
    <xf numFmtId="0" fontId="35" fillId="0" borderId="1" xfId="11" applyFont="1" applyBorder="1" applyAlignment="1">
      <alignment horizontal="left"/>
    </xf>
    <xf numFmtId="0" fontId="37" fillId="0" borderId="1" xfId="11" applyFont="1" applyBorder="1" applyAlignment="1">
      <alignment horizontal="center"/>
    </xf>
    <xf numFmtId="2" fontId="37" fillId="0" borderId="0" xfId="11" applyNumberFormat="1" applyFont="1" applyAlignment="1">
      <alignment horizontal="center" vertical="center"/>
    </xf>
    <xf numFmtId="2" fontId="37" fillId="2" borderId="1" xfId="11" applyNumberFormat="1" applyFont="1" applyFill="1" applyBorder="1" applyAlignment="1">
      <alignment horizontal="center" vertical="center"/>
    </xf>
    <xf numFmtId="1" fontId="37" fillId="2" borderId="1" xfId="13" applyNumberFormat="1" applyFont="1" applyFill="1" applyBorder="1" applyAlignment="1">
      <alignment horizontal="center" vertical="center" wrapText="1"/>
    </xf>
    <xf numFmtId="2" fontId="37" fillId="0" borderId="1" xfId="13" applyNumberFormat="1" applyFont="1" applyBorder="1" applyAlignment="1">
      <alignment horizontal="left" vertical="center" wrapText="1"/>
    </xf>
    <xf numFmtId="2" fontId="13" fillId="0" borderId="1" xfId="13" applyNumberFormat="1" applyFont="1" applyBorder="1" applyAlignment="1">
      <alignment horizontal="center" vertical="center" wrapText="1"/>
    </xf>
    <xf numFmtId="2" fontId="37" fillId="2" borderId="1" xfId="13" applyNumberFormat="1" applyFont="1" applyFill="1" applyBorder="1" applyAlignment="1">
      <alignment horizontal="center" vertical="center" wrapText="1"/>
    </xf>
    <xf numFmtId="2" fontId="37" fillId="0" borderId="1" xfId="15" applyNumberFormat="1" applyFont="1" applyBorder="1" applyAlignment="1">
      <alignment horizontal="center" vertical="center" wrapText="1"/>
    </xf>
    <xf numFmtId="2" fontId="37" fillId="0" borderId="0" xfId="13" applyNumberFormat="1" applyFont="1" applyAlignment="1">
      <alignment vertical="center" wrapText="1"/>
    </xf>
    <xf numFmtId="1" fontId="37" fillId="0" borderId="1" xfId="13" applyNumberFormat="1" applyFont="1" applyBorder="1" applyAlignment="1">
      <alignment horizontal="center"/>
    </xf>
    <xf numFmtId="2" fontId="12" fillId="0" borderId="1" xfId="13" applyNumberFormat="1" applyFont="1" applyBorder="1" applyAlignment="1">
      <alignment horizontal="center"/>
    </xf>
    <xf numFmtId="2" fontId="37" fillId="0" borderId="1" xfId="13" applyNumberFormat="1" applyFont="1" applyBorder="1" applyAlignment="1">
      <alignment horizontal="center"/>
    </xf>
    <xf numFmtId="2" fontId="37" fillId="2" borderId="1" xfId="13" applyNumberFormat="1" applyFont="1" applyFill="1" applyBorder="1" applyAlignment="1">
      <alignment horizontal="center"/>
    </xf>
    <xf numFmtId="2" fontId="37" fillId="0" borderId="0" xfId="13" applyNumberFormat="1" applyFont="1"/>
    <xf numFmtId="1" fontId="37" fillId="2" borderId="1" xfId="16" applyNumberFormat="1" applyFont="1" applyFill="1" applyBorder="1" applyAlignment="1">
      <alignment horizontal="center" vertical="center"/>
    </xf>
    <xf numFmtId="2" fontId="37" fillId="0" borderId="1" xfId="16" applyNumberFormat="1" applyFont="1" applyBorder="1" applyAlignment="1">
      <alignment horizontal="left" vertical="center" wrapText="1"/>
    </xf>
    <xf numFmtId="2" fontId="37" fillId="0" borderId="1" xfId="16" applyNumberFormat="1" applyFont="1" applyBorder="1" applyAlignment="1">
      <alignment horizontal="center" vertical="center"/>
    </xf>
    <xf numFmtId="2" fontId="37" fillId="2" borderId="1" xfId="16" applyNumberFormat="1" applyFont="1" applyFill="1" applyBorder="1" applyAlignment="1">
      <alignment horizontal="center" vertical="center"/>
    </xf>
    <xf numFmtId="2" fontId="37" fillId="0" borderId="1" xfId="17" applyNumberFormat="1" applyFont="1" applyBorder="1" applyAlignment="1">
      <alignment horizontal="center" vertical="center"/>
    </xf>
    <xf numFmtId="2" fontId="37" fillId="0" borderId="0" xfId="4" applyNumberFormat="1" applyFont="1" applyAlignment="1">
      <alignment vertical="center"/>
    </xf>
    <xf numFmtId="2" fontId="37" fillId="2" borderId="1" xfId="11" applyNumberFormat="1" applyFont="1" applyFill="1" applyBorder="1" applyAlignment="1">
      <alignment horizontal="left" vertical="center" wrapText="1"/>
    </xf>
    <xf numFmtId="2" fontId="37" fillId="0" borderId="0" xfId="13" applyNumberFormat="1" applyFont="1" applyAlignment="1">
      <alignment horizontal="center" vertical="center"/>
    </xf>
    <xf numFmtId="2" fontId="37" fillId="0" borderId="1" xfId="13" applyNumberFormat="1" applyFont="1" applyBorder="1" applyAlignment="1">
      <alignment horizontal="center" vertical="center"/>
    </xf>
    <xf numFmtId="2" fontId="37" fillId="0" borderId="1" xfId="15" applyNumberFormat="1" applyFont="1" applyBorder="1" applyAlignment="1">
      <alignment horizontal="center" vertical="center"/>
    </xf>
    <xf numFmtId="2" fontId="37" fillId="0" borderId="0" xfId="18" applyNumberFormat="1" applyFont="1" applyAlignment="1">
      <alignment horizontal="center"/>
    </xf>
    <xf numFmtId="2" fontId="37" fillId="2" borderId="1" xfId="14" applyNumberFormat="1" applyFont="1" applyFill="1" applyBorder="1" applyAlignment="1">
      <alignment horizontal="center" vertical="center" wrapText="1"/>
    </xf>
    <xf numFmtId="2" fontId="37" fillId="2" borderId="0" xfId="11" applyNumberFormat="1" applyFont="1" applyFill="1" applyAlignment="1">
      <alignment horizontal="center" vertical="center" wrapText="1"/>
    </xf>
    <xf numFmtId="1" fontId="37" fillId="0" borderId="1" xfId="13" applyNumberFormat="1" applyFont="1" applyBorder="1" applyAlignment="1">
      <alignment horizontal="center" vertical="center" wrapText="1"/>
    </xf>
    <xf numFmtId="2" fontId="37" fillId="0" borderId="1" xfId="13" applyNumberFormat="1" applyFont="1" applyBorder="1" applyAlignment="1">
      <alignment horizontal="center" vertical="center" wrapText="1"/>
    </xf>
    <xf numFmtId="2" fontId="37" fillId="2" borderId="1" xfId="13" applyNumberFormat="1" applyFont="1" applyFill="1" applyBorder="1" applyAlignment="1">
      <alignment horizontal="center" vertical="center"/>
    </xf>
    <xf numFmtId="2" fontId="37" fillId="0" borderId="0" xfId="13" applyNumberFormat="1" applyFont="1" applyAlignment="1">
      <alignment horizontal="center" vertical="center" wrapText="1"/>
    </xf>
    <xf numFmtId="2" fontId="37" fillId="2" borderId="1" xfId="13" applyNumberFormat="1" applyFont="1" applyFill="1" applyBorder="1" applyAlignment="1">
      <alignment horizontal="left" vertical="center" wrapText="1"/>
    </xf>
    <xf numFmtId="2" fontId="37" fillId="0" borderId="1" xfId="11" applyNumberFormat="1" applyFont="1" applyBorder="1" applyAlignment="1">
      <alignment horizontal="left" vertical="center"/>
    </xf>
    <xf numFmtId="2" fontId="12" fillId="2" borderId="1" xfId="19" applyNumberFormat="1" applyFont="1" applyFill="1" applyBorder="1" applyAlignment="1">
      <alignment horizontal="center" vertical="center"/>
    </xf>
    <xf numFmtId="2" fontId="12" fillId="2" borderId="1" xfId="20" applyNumberFormat="1" applyFont="1" applyFill="1" applyBorder="1" applyAlignment="1">
      <alignment horizontal="center" vertical="center"/>
    </xf>
    <xf numFmtId="2" fontId="12" fillId="0" borderId="1" xfId="19" applyNumberFormat="1" applyFont="1" applyBorder="1" applyAlignment="1">
      <alignment horizontal="center"/>
    </xf>
    <xf numFmtId="2" fontId="37" fillId="0" borderId="0" xfId="19" applyNumberFormat="1" applyFont="1" applyAlignment="1">
      <alignment horizontal="center"/>
    </xf>
    <xf numFmtId="2" fontId="12" fillId="2" borderId="1" xfId="19" applyNumberFormat="1" applyFont="1" applyFill="1" applyBorder="1" applyAlignment="1">
      <alignment horizontal="center" vertical="center" wrapText="1"/>
    </xf>
    <xf numFmtId="2" fontId="58" fillId="2" borderId="1" xfId="19" applyNumberFormat="1" applyFont="1" applyFill="1" applyBorder="1" applyAlignment="1">
      <alignment horizontal="left" vertical="center" wrapText="1"/>
    </xf>
    <xf numFmtId="2" fontId="21" fillId="2" borderId="1" xfId="20" applyNumberFormat="1" applyFont="1" applyFill="1" applyBorder="1" applyAlignment="1">
      <alignment horizontal="center" vertical="center" wrapText="1"/>
    </xf>
    <xf numFmtId="2" fontId="37" fillId="0" borderId="0" xfId="19" applyNumberFormat="1" applyFont="1" applyAlignment="1">
      <alignment vertical="center" wrapText="1"/>
    </xf>
    <xf numFmtId="2" fontId="13" fillId="5" borderId="1" xfId="19" applyNumberFormat="1" applyFont="1" applyFill="1" applyBorder="1" applyAlignment="1">
      <alignment horizontal="center"/>
    </xf>
    <xf numFmtId="2" fontId="12" fillId="5" borderId="1" xfId="19" applyNumberFormat="1" applyFont="1" applyFill="1" applyBorder="1" applyAlignment="1">
      <alignment horizontal="center"/>
    </xf>
    <xf numFmtId="2" fontId="23" fillId="5" borderId="1" xfId="19" applyNumberFormat="1" applyFont="1" applyFill="1" applyBorder="1" applyAlignment="1">
      <alignment horizontal="center"/>
    </xf>
    <xf numFmtId="2" fontId="13" fillId="0" borderId="0" xfId="19" applyNumberFormat="1" applyFont="1" applyAlignment="1">
      <alignment horizontal="center"/>
    </xf>
    <xf numFmtId="2" fontId="21" fillId="0" borderId="0" xfId="8" applyNumberFormat="1" applyFont="1" applyAlignment="1">
      <alignment vertical="top"/>
    </xf>
    <xf numFmtId="0" fontId="37" fillId="0" borderId="0" xfId="8" applyFont="1" applyAlignment="1">
      <alignment horizontal="left" vertical="center" wrapText="1"/>
    </xf>
    <xf numFmtId="2" fontId="37" fillId="2" borderId="0" xfId="8" applyNumberFormat="1" applyFont="1" applyFill="1"/>
    <xf numFmtId="2" fontId="37" fillId="0" borderId="0" xfId="8" applyNumberFormat="1" applyFont="1" applyFill="1"/>
    <xf numFmtId="0" fontId="47" fillId="0" borderId="0" xfId="8" applyFont="1" applyAlignment="1">
      <alignment horizontal="center" vertical="center"/>
    </xf>
    <xf numFmtId="0" fontId="27" fillId="0" borderId="0" xfId="8" applyAlignment="1"/>
    <xf numFmtId="0" fontId="12" fillId="0" borderId="0" xfId="2" applyNumberFormat="1" applyFont="1" applyBorder="1" applyAlignment="1">
      <alignment horizontal="center" vertical="center" wrapText="1"/>
    </xf>
    <xf numFmtId="0" fontId="50" fillId="0" borderId="0" xfId="2" applyNumberFormat="1" applyFont="1" applyBorder="1" applyAlignment="1">
      <alignment horizontal="center" vertical="center" wrapText="1"/>
    </xf>
    <xf numFmtId="0" fontId="44" fillId="0" borderId="0" xfId="2" applyFont="1" applyBorder="1" applyAlignment="1">
      <alignment vertical="top" wrapText="1"/>
    </xf>
    <xf numFmtId="0" fontId="44" fillId="0" borderId="0" xfId="2" applyFont="1" applyAlignment="1">
      <alignment vertical="top" wrapText="1"/>
    </xf>
    <xf numFmtId="0" fontId="50" fillId="0" borderId="0" xfId="8" applyFont="1" applyFill="1" applyBorder="1" applyAlignment="1">
      <alignment horizontal="center" vertical="center" wrapText="1"/>
    </xf>
    <xf numFmtId="0" fontId="21" fillId="0" borderId="33" xfId="8" applyFont="1" applyFill="1" applyBorder="1" applyAlignment="1">
      <alignment horizontal="center" vertical="center" wrapText="1"/>
    </xf>
    <xf numFmtId="0" fontId="21" fillId="0" borderId="29" xfId="8" applyFont="1" applyBorder="1" applyAlignment="1">
      <alignment horizontal="center" vertical="center" wrapText="1"/>
    </xf>
    <xf numFmtId="0" fontId="21" fillId="0" borderId="33" xfId="8" applyFont="1" applyFill="1" applyBorder="1" applyAlignment="1">
      <alignment horizontal="center" vertical="center" textRotation="90" wrapText="1"/>
    </xf>
    <xf numFmtId="0" fontId="21" fillId="0" borderId="35" xfId="8" applyFont="1" applyFill="1" applyBorder="1" applyAlignment="1">
      <alignment horizontal="center" vertical="center" textRotation="90" wrapText="1"/>
    </xf>
    <xf numFmtId="0" fontId="21" fillId="0" borderId="29" xfId="8" applyFont="1" applyFill="1" applyBorder="1" applyAlignment="1">
      <alignment horizontal="center" vertical="center" textRotation="90" wrapText="1"/>
    </xf>
    <xf numFmtId="0" fontId="21" fillId="0" borderId="40" xfId="8" applyFont="1" applyFill="1" applyBorder="1" applyAlignment="1">
      <alignment horizontal="center" vertical="center" textRotation="90" wrapText="1"/>
    </xf>
    <xf numFmtId="0" fontId="37" fillId="0" borderId="0" xfId="8" applyFont="1" applyBorder="1"/>
    <xf numFmtId="0" fontId="37" fillId="0" borderId="0" xfId="8" applyFont="1"/>
    <xf numFmtId="0" fontId="21" fillId="0" borderId="41" xfId="8" applyFont="1" applyFill="1" applyBorder="1" applyAlignment="1">
      <alignment horizontal="center" vertical="center" wrapText="1"/>
    </xf>
    <xf numFmtId="0" fontId="21" fillId="0" borderId="42" xfId="8" applyFont="1" applyBorder="1" applyAlignment="1">
      <alignment horizontal="center" vertical="center" wrapText="1"/>
    </xf>
    <xf numFmtId="0" fontId="21" fillId="0" borderId="41" xfId="8" applyFont="1" applyFill="1" applyBorder="1" applyAlignment="1">
      <alignment horizontal="center" vertical="center" textRotation="90" wrapText="1"/>
    </xf>
    <xf numFmtId="0" fontId="21" fillId="0" borderId="0" xfId="8" applyFont="1" applyFill="1" applyBorder="1" applyAlignment="1">
      <alignment horizontal="center" vertical="center" textRotation="90" wrapText="1"/>
    </xf>
    <xf numFmtId="0" fontId="21" fillId="0" borderId="42" xfId="8" applyFont="1" applyFill="1" applyBorder="1" applyAlignment="1">
      <alignment horizontal="center" vertical="center" textRotation="90" wrapText="1"/>
    </xf>
    <xf numFmtId="0" fontId="21" fillId="0" borderId="43" xfId="8" applyFont="1" applyFill="1" applyBorder="1" applyAlignment="1">
      <alignment horizontal="center" vertical="center" textRotation="90" wrapText="1"/>
    </xf>
    <xf numFmtId="0" fontId="59" fillId="4" borderId="29" xfId="8" quotePrefix="1" applyFont="1" applyFill="1" applyBorder="1" applyAlignment="1">
      <alignment horizontal="center" vertical="center" wrapText="1"/>
    </xf>
    <xf numFmtId="0" fontId="59" fillId="4" borderId="29" xfId="8" quotePrefix="1" applyNumberFormat="1" applyFont="1" applyFill="1" applyBorder="1" applyAlignment="1">
      <alignment horizontal="center" vertical="center" wrapText="1"/>
    </xf>
    <xf numFmtId="1" fontId="59" fillId="4" borderId="35" xfId="8" quotePrefix="1" applyNumberFormat="1" applyFont="1" applyFill="1" applyBorder="1" applyAlignment="1">
      <alignment horizontal="center" vertical="center" wrapText="1"/>
    </xf>
    <xf numFmtId="1" fontId="59" fillId="4" borderId="40" xfId="8" quotePrefix="1" applyNumberFormat="1" applyFont="1" applyFill="1" applyBorder="1" applyAlignment="1">
      <alignment horizontal="center" vertical="center" wrapText="1"/>
    </xf>
    <xf numFmtId="0" fontId="26" fillId="0" borderId="0" xfId="8" applyFont="1" applyBorder="1" applyAlignment="1">
      <alignment vertical="center" wrapText="1"/>
    </xf>
    <xf numFmtId="0" fontId="26" fillId="0" borderId="0" xfId="8" applyFont="1" applyAlignment="1">
      <alignment vertical="center" wrapText="1"/>
    </xf>
    <xf numFmtId="0" fontId="26" fillId="0" borderId="1" xfId="8" quotePrefix="1" applyFont="1" applyBorder="1" applyAlignment="1">
      <alignment horizontal="center" vertical="center" wrapText="1"/>
    </xf>
    <xf numFmtId="0" fontId="37" fillId="0" borderId="1" xfId="11" applyFont="1" applyBorder="1" applyAlignment="1">
      <alignment horizontal="left" vertical="center" wrapText="1"/>
    </xf>
    <xf numFmtId="0" fontId="37" fillId="0" borderId="1" xfId="11" applyFont="1" applyBorder="1" applyAlignment="1">
      <alignment horizontal="center" vertical="center"/>
    </xf>
    <xf numFmtId="2" fontId="37" fillId="2" borderId="1" xfId="8" quotePrefix="1" applyNumberFormat="1" applyFont="1" applyFill="1" applyBorder="1" applyAlignment="1">
      <alignment horizontal="center" vertical="center" wrapText="1"/>
    </xf>
    <xf numFmtId="0" fontId="21" fillId="0" borderId="1" xfId="2" applyFont="1" applyBorder="1" applyAlignment="1">
      <alignment horizontal="center" vertical="center" wrapText="1"/>
    </xf>
    <xf numFmtId="0" fontId="37" fillId="2" borderId="1" xfId="11" applyFont="1" applyFill="1" applyBorder="1" applyAlignment="1">
      <alignment horizontal="center" vertical="center"/>
    </xf>
    <xf numFmtId="167" fontId="37" fillId="0" borderId="1" xfId="11" applyNumberFormat="1" applyFont="1" applyBorder="1" applyAlignment="1">
      <alignment horizontal="center" vertical="center"/>
    </xf>
    <xf numFmtId="0" fontId="21" fillId="0" borderId="0" xfId="2" applyFont="1" applyBorder="1" applyAlignment="1">
      <alignment vertical="center"/>
    </xf>
    <xf numFmtId="0" fontId="21" fillId="0" borderId="0" xfId="2" applyFont="1" applyAlignment="1">
      <alignment vertical="center"/>
    </xf>
    <xf numFmtId="0" fontId="37" fillId="0" borderId="1" xfId="11" applyFont="1" applyBorder="1" applyAlignment="1">
      <alignment horizontal="center" vertical="center" wrapText="1"/>
    </xf>
    <xf numFmtId="0" fontId="13" fillId="2" borderId="1" xfId="8" applyFont="1" applyFill="1" applyBorder="1" applyAlignment="1">
      <alignment horizontal="center" vertical="top" wrapText="1"/>
    </xf>
    <xf numFmtId="0" fontId="23" fillId="0" borderId="1" xfId="8" applyFont="1" applyFill="1" applyBorder="1" applyAlignment="1">
      <alignment horizontal="center" vertical="top" wrapText="1"/>
    </xf>
    <xf numFmtId="0" fontId="23" fillId="2" borderId="1" xfId="8" applyFont="1" applyFill="1" applyBorder="1" applyAlignment="1">
      <alignment horizontal="center" vertical="top" wrapText="1"/>
    </xf>
    <xf numFmtId="164" fontId="23" fillId="0" borderId="1" xfId="8" applyNumberFormat="1" applyFont="1" applyFill="1" applyBorder="1" applyAlignment="1">
      <alignment horizontal="center" vertical="top" wrapText="1"/>
    </xf>
    <xf numFmtId="2" fontId="23" fillId="2" borderId="1" xfId="8" applyNumberFormat="1" applyFont="1" applyFill="1" applyBorder="1" applyAlignment="1">
      <alignment horizontal="center" vertical="top" wrapText="1"/>
    </xf>
    <xf numFmtId="2" fontId="12" fillId="2" borderId="1" xfId="8" quotePrefix="1" applyNumberFormat="1" applyFont="1" applyFill="1" applyBorder="1" applyAlignment="1">
      <alignment horizontal="center" vertical="center" wrapText="1"/>
    </xf>
    <xf numFmtId="0" fontId="60" fillId="0" borderId="0" xfId="8" applyFont="1" applyBorder="1"/>
    <xf numFmtId="0" fontId="27" fillId="0" borderId="0" xfId="8" applyFill="1" applyAlignment="1">
      <alignment horizontal="center" vertical="center"/>
    </xf>
    <xf numFmtId="0" fontId="42" fillId="0" borderId="0" xfId="8" applyNumberFormat="1" applyFont="1" applyFill="1" applyBorder="1" applyAlignment="1">
      <alignment horizontal="center" vertical="center" wrapText="1"/>
    </xf>
    <xf numFmtId="0" fontId="27" fillId="0" borderId="0" xfId="8" applyFill="1" applyAlignment="1">
      <alignment vertical="top" wrapText="1"/>
    </xf>
    <xf numFmtId="0" fontId="47" fillId="0" borderId="0" xfId="2" applyNumberFormat="1" applyFont="1" applyBorder="1" applyAlignment="1">
      <alignment horizontal="center" vertical="top" wrapText="1"/>
    </xf>
    <xf numFmtId="0" fontId="44" fillId="2" borderId="0" xfId="2" applyFont="1" applyFill="1" applyAlignment="1">
      <alignment vertical="top" wrapText="1"/>
    </xf>
    <xf numFmtId="0" fontId="40" fillId="0" borderId="0" xfId="2" applyNumberFormat="1" applyFont="1" applyBorder="1" applyAlignment="1">
      <alignment horizontal="center" vertical="top" wrapText="1"/>
    </xf>
    <xf numFmtId="0" fontId="6" fillId="2" borderId="0" xfId="2" applyFill="1" applyAlignment="1">
      <alignment vertical="top" wrapText="1"/>
    </xf>
    <xf numFmtId="0" fontId="37" fillId="0" borderId="29" xfId="8" applyFont="1" applyFill="1" applyBorder="1" applyAlignment="1">
      <alignment horizontal="center" vertical="center" textRotation="90" wrapText="1"/>
    </xf>
    <xf numFmtId="0" fontId="37" fillId="0" borderId="35" xfId="8" applyFont="1" applyBorder="1" applyAlignment="1">
      <alignment horizontal="center" vertical="center" wrapText="1"/>
    </xf>
    <xf numFmtId="0" fontId="37" fillId="0" borderId="29" xfId="8" applyFont="1" applyBorder="1" applyAlignment="1">
      <alignment horizontal="center" vertical="center" textRotation="90" wrapText="1"/>
    </xf>
    <xf numFmtId="0" fontId="37" fillId="2" borderId="35" xfId="8" applyFont="1" applyFill="1" applyBorder="1" applyAlignment="1">
      <alignment horizontal="center" vertical="center" textRotation="90" wrapText="1"/>
    </xf>
    <xf numFmtId="0" fontId="37" fillId="2" borderId="29" xfId="8" applyFont="1" applyFill="1" applyBorder="1" applyAlignment="1">
      <alignment horizontal="center" vertical="center" textRotation="90" wrapText="1"/>
    </xf>
    <xf numFmtId="0" fontId="37" fillId="2" borderId="40" xfId="8" applyFont="1" applyFill="1" applyBorder="1" applyAlignment="1">
      <alignment horizontal="center" vertical="center" textRotation="90" wrapText="1"/>
    </xf>
    <xf numFmtId="0" fontId="12" fillId="4" borderId="29" xfId="8" quotePrefix="1" applyFont="1" applyFill="1" applyBorder="1" applyAlignment="1">
      <alignment horizontal="center" vertical="center" wrapText="1"/>
    </xf>
    <xf numFmtId="0" fontId="12" fillId="4" borderId="35" xfId="8" quotePrefix="1" applyFont="1" applyFill="1" applyBorder="1" applyAlignment="1">
      <alignment horizontal="center" vertical="center" wrapText="1"/>
    </xf>
    <xf numFmtId="0" fontId="12" fillId="4" borderId="29" xfId="8" quotePrefix="1" applyNumberFormat="1" applyFont="1" applyFill="1" applyBorder="1" applyAlignment="1">
      <alignment horizontal="center" vertical="center" wrapText="1"/>
    </xf>
    <xf numFmtId="49" fontId="12" fillId="4" borderId="35" xfId="8" quotePrefix="1" applyNumberFormat="1" applyFont="1" applyFill="1" applyBorder="1" applyAlignment="1">
      <alignment horizontal="center" vertical="center" wrapText="1"/>
    </xf>
    <xf numFmtId="49" fontId="37" fillId="4" borderId="29" xfId="8" quotePrefix="1" applyNumberFormat="1" applyFont="1" applyFill="1" applyBorder="1" applyAlignment="1">
      <alignment horizontal="center" vertical="center" wrapText="1"/>
    </xf>
    <xf numFmtId="49" fontId="12" fillId="4" borderId="44" xfId="8" quotePrefix="1" applyNumberFormat="1" applyFont="1" applyFill="1" applyBorder="1" applyAlignment="1">
      <alignment horizontal="center" vertical="center" wrapText="1"/>
    </xf>
    <xf numFmtId="49" fontId="61" fillId="0" borderId="31" xfId="21" applyNumberFormat="1" applyFont="1" applyBorder="1" applyAlignment="1">
      <alignment horizontal="center" vertical="center"/>
    </xf>
    <xf numFmtId="49" fontId="61" fillId="0" borderId="45" xfId="21" applyNumberFormat="1" applyFont="1" applyBorder="1" applyAlignment="1">
      <alignment horizontal="left" vertical="center" wrapText="1"/>
    </xf>
    <xf numFmtId="0" fontId="61" fillId="0" borderId="31" xfId="21" applyFont="1" applyBorder="1" applyAlignment="1">
      <alignment horizontal="center" vertical="center"/>
    </xf>
    <xf numFmtId="4" fontId="61" fillId="0" borderId="31" xfId="21" applyNumberFormat="1" applyFont="1" applyBorder="1" applyAlignment="1">
      <alignment horizontal="center" vertical="center" wrapText="1"/>
    </xf>
    <xf numFmtId="0" fontId="62" fillId="0" borderId="0" xfId="8" applyFont="1" applyAlignment="1">
      <alignment vertical="top"/>
    </xf>
    <xf numFmtId="0" fontId="21" fillId="0" borderId="0" xfId="8" applyFont="1" applyAlignment="1"/>
    <xf numFmtId="4" fontId="21" fillId="0" borderId="0" xfId="8" applyNumberFormat="1" applyFont="1" applyAlignment="1"/>
    <xf numFmtId="0" fontId="37" fillId="2" borderId="1" xfId="11" applyFont="1" applyFill="1" applyBorder="1" applyAlignment="1">
      <alignment horizontal="center" vertical="center" wrapText="1"/>
    </xf>
    <xf numFmtId="49" fontId="21" fillId="0" borderId="7" xfId="21" applyNumberFormat="1" applyFont="1" applyBorder="1" applyAlignment="1">
      <alignment horizontal="left" vertical="center" wrapText="1"/>
    </xf>
    <xf numFmtId="0" fontId="61" fillId="0" borderId="1" xfId="21" applyFont="1" applyBorder="1" applyAlignment="1">
      <alignment horizontal="center" vertical="center"/>
    </xf>
    <xf numFmtId="4" fontId="61" fillId="0" borderId="1" xfId="21" applyNumberFormat="1" applyFont="1" applyBorder="1" applyAlignment="1">
      <alignment horizontal="center" vertical="center" wrapText="1"/>
    </xf>
    <xf numFmtId="0" fontId="12" fillId="2" borderId="1" xfId="19" applyFont="1" applyFill="1" applyBorder="1" applyAlignment="1">
      <alignment horizontal="center" vertical="center"/>
    </xf>
    <xf numFmtId="167" fontId="12" fillId="2" borderId="1" xfId="19" applyNumberFormat="1" applyFont="1" applyFill="1" applyBorder="1" applyAlignment="1">
      <alignment horizontal="center" vertical="center"/>
    </xf>
    <xf numFmtId="0" fontId="12" fillId="2" borderId="1" xfId="20" applyFont="1" applyFill="1" applyBorder="1" applyAlignment="1">
      <alignment horizontal="center" vertical="center"/>
    </xf>
    <xf numFmtId="2" fontId="63" fillId="2" borderId="46" xfId="8" quotePrefix="1" applyNumberFormat="1" applyFont="1" applyFill="1" applyBorder="1" applyAlignment="1">
      <alignment horizontal="center" vertical="center"/>
    </xf>
    <xf numFmtId="0" fontId="36" fillId="0" borderId="0" xfId="8" applyFont="1"/>
    <xf numFmtId="0" fontId="37" fillId="2" borderId="0" xfId="8" applyFont="1" applyFill="1"/>
    <xf numFmtId="49" fontId="61" fillId="0" borderId="47" xfId="21" applyNumberFormat="1" applyFont="1" applyBorder="1" applyAlignment="1">
      <alignment horizontal="left" vertical="center" wrapText="1"/>
    </xf>
    <xf numFmtId="0" fontId="12" fillId="4" borderId="1" xfId="8" quotePrefix="1" applyFont="1" applyFill="1" applyBorder="1" applyAlignment="1">
      <alignment horizontal="center" vertical="center" wrapText="1"/>
    </xf>
    <xf numFmtId="0" fontId="12" fillId="4" borderId="1" xfId="8" quotePrefix="1" applyNumberFormat="1" applyFont="1" applyFill="1" applyBorder="1" applyAlignment="1">
      <alignment horizontal="center" vertical="center" wrapText="1"/>
    </xf>
    <xf numFmtId="49" fontId="12" fillId="4" borderId="1" xfId="8" quotePrefix="1" applyNumberFormat="1" applyFont="1" applyFill="1" applyBorder="1" applyAlignment="1">
      <alignment horizontal="center" vertical="center" wrapText="1"/>
    </xf>
    <xf numFmtId="49" fontId="37" fillId="4" borderId="1" xfId="8" quotePrefix="1" applyNumberFormat="1" applyFont="1" applyFill="1" applyBorder="1" applyAlignment="1">
      <alignment horizontal="center" vertical="center" wrapText="1"/>
    </xf>
    <xf numFmtId="0" fontId="37" fillId="2" borderId="0" xfId="8" quotePrefix="1" applyFont="1" applyFill="1" applyBorder="1" applyAlignment="1">
      <alignment horizontal="left" vertical="center" wrapText="1"/>
    </xf>
    <xf numFmtId="49" fontId="21" fillId="0" borderId="31" xfId="21" applyNumberFormat="1" applyFont="1" applyBorder="1" applyAlignment="1">
      <alignment horizontal="center" vertical="center"/>
    </xf>
    <xf numFmtId="0" fontId="61" fillId="0" borderId="45" xfId="21" applyFont="1" applyBorder="1" applyAlignment="1">
      <alignment horizontal="center" vertical="center"/>
    </xf>
    <xf numFmtId="49" fontId="37" fillId="2" borderId="1" xfId="8" quotePrefix="1" applyNumberFormat="1" applyFont="1" applyFill="1" applyBorder="1" applyAlignment="1">
      <alignment horizontal="center" vertical="center" wrapText="1"/>
    </xf>
    <xf numFmtId="4" fontId="61" fillId="0" borderId="46" xfId="21" applyNumberFormat="1" applyFont="1" applyBorder="1" applyAlignment="1">
      <alignment horizontal="center" vertical="center" wrapText="1"/>
    </xf>
    <xf numFmtId="49" fontId="21" fillId="0" borderId="45" xfId="21" applyNumberFormat="1" applyFont="1" applyBorder="1" applyAlignment="1">
      <alignment horizontal="left" vertical="center" wrapText="1"/>
    </xf>
    <xf numFmtId="2" fontId="21" fillId="0" borderId="1" xfId="8" applyNumberFormat="1" applyFont="1" applyBorder="1" applyAlignment="1">
      <alignment horizontal="center" vertical="center"/>
    </xf>
    <xf numFmtId="0" fontId="37" fillId="2" borderId="1" xfId="19" applyFont="1" applyFill="1" applyBorder="1" applyAlignment="1">
      <alignment horizontal="center" vertical="center"/>
    </xf>
    <xf numFmtId="2" fontId="61" fillId="0" borderId="31" xfId="21" applyNumberFormat="1" applyFont="1" applyBorder="1" applyAlignment="1">
      <alignment horizontal="center" vertical="center"/>
    </xf>
    <xf numFmtId="49" fontId="49" fillId="0" borderId="6" xfId="8" applyNumberFormat="1" applyFont="1" applyBorder="1" applyAlignment="1">
      <alignment horizontal="center" vertical="center"/>
    </xf>
    <xf numFmtId="2" fontId="50" fillId="0" borderId="32" xfId="8" applyNumberFormat="1" applyFont="1" applyBorder="1" applyAlignment="1">
      <alignment horizontal="center"/>
    </xf>
    <xf numFmtId="168" fontId="27" fillId="0" borderId="0" xfId="8" applyNumberFormat="1"/>
    <xf numFmtId="0" fontId="58" fillId="0" borderId="0" xfId="8" applyNumberFormat="1" applyFont="1" applyFill="1" applyBorder="1" applyAlignment="1">
      <alignment horizontal="center" vertical="center" wrapText="1"/>
    </xf>
    <xf numFmtId="0" fontId="47" fillId="0" borderId="0" xfId="8" applyNumberFormat="1" applyFont="1" applyFill="1" applyBorder="1" applyAlignment="1">
      <alignment horizontal="center" vertical="center" wrapText="1"/>
    </xf>
    <xf numFmtId="0" fontId="27" fillId="0" borderId="0" xfId="8" applyFill="1" applyBorder="1" applyAlignment="1">
      <alignment vertical="top" wrapText="1"/>
    </xf>
    <xf numFmtId="0" fontId="49" fillId="0" borderId="0" xfId="8" applyNumberFormat="1" applyFont="1" applyFill="1" applyBorder="1" applyAlignment="1">
      <alignment horizontal="left" vertical="center" wrapText="1"/>
    </xf>
    <xf numFmtId="0" fontId="23" fillId="0" borderId="0" xfId="8" applyNumberFormat="1" applyFont="1" applyFill="1" applyBorder="1" applyAlignment="1">
      <alignment horizontal="center" vertical="center" wrapText="1"/>
    </xf>
    <xf numFmtId="164" fontId="58" fillId="2" borderId="0" xfId="8" applyNumberFormat="1" applyFont="1" applyFill="1" applyBorder="1" applyAlignment="1">
      <alignment horizontal="center" vertical="center" wrapText="1"/>
    </xf>
    <xf numFmtId="0" fontId="21" fillId="0" borderId="33" xfId="8" applyFont="1" applyFill="1" applyBorder="1" applyAlignment="1">
      <alignment vertical="center" textRotation="90" wrapText="1"/>
    </xf>
    <xf numFmtId="0" fontId="21" fillId="0" borderId="48" xfId="8" applyFont="1" applyFill="1" applyBorder="1" applyAlignment="1">
      <alignment horizontal="center" vertical="center" textRotation="90" wrapText="1"/>
    </xf>
    <xf numFmtId="0" fontId="21" fillId="0" borderId="41" xfId="8" applyFont="1" applyFill="1" applyBorder="1" applyAlignment="1">
      <alignment vertical="center" textRotation="90" wrapText="1"/>
    </xf>
    <xf numFmtId="0" fontId="21" fillId="0" borderId="49" xfId="8" applyFont="1" applyFill="1" applyBorder="1" applyAlignment="1">
      <alignment horizontal="center" vertical="center" textRotation="90" wrapText="1"/>
    </xf>
    <xf numFmtId="0" fontId="58" fillId="0" borderId="29" xfId="8" quotePrefix="1" applyFont="1" applyFill="1" applyBorder="1" applyAlignment="1">
      <alignment horizontal="center" vertical="center" wrapText="1"/>
    </xf>
    <xf numFmtId="0" fontId="65" fillId="4" borderId="29" xfId="8" quotePrefix="1" applyFont="1" applyFill="1" applyBorder="1" applyAlignment="1">
      <alignment horizontal="center" vertical="center" wrapText="1"/>
    </xf>
    <xf numFmtId="0" fontId="65" fillId="4" borderId="35" xfId="8" quotePrefix="1" applyFont="1" applyFill="1" applyBorder="1" applyAlignment="1">
      <alignment horizontal="center" vertical="center" wrapText="1"/>
    </xf>
    <xf numFmtId="0" fontId="65" fillId="4" borderId="30" xfId="8" quotePrefix="1" applyFont="1" applyFill="1" applyBorder="1" applyAlignment="1">
      <alignment horizontal="center" vertical="center" wrapText="1"/>
    </xf>
    <xf numFmtId="0" fontId="13" fillId="2" borderId="1" xfId="13" applyFont="1" applyFill="1" applyBorder="1" applyAlignment="1">
      <alignment horizontal="center" vertical="center"/>
    </xf>
    <xf numFmtId="0" fontId="12" fillId="2" borderId="1" xfId="13" applyFont="1" applyFill="1" applyBorder="1" applyAlignment="1">
      <alignment horizontal="center" vertical="center"/>
    </xf>
    <xf numFmtId="2" fontId="21" fillId="2" borderId="50" xfId="8" applyNumberFormat="1" applyFont="1" applyFill="1" applyBorder="1" applyAlignment="1">
      <alignment horizontal="center" vertical="center" wrapText="1"/>
    </xf>
    <xf numFmtId="0" fontId="21" fillId="0" borderId="0" xfId="8" applyFont="1" applyFill="1"/>
    <xf numFmtId="0" fontId="57" fillId="0" borderId="1" xfId="11" applyFont="1" applyBorder="1" applyAlignment="1">
      <alignment horizontal="center" vertical="center" wrapText="1"/>
    </xf>
    <xf numFmtId="0" fontId="60" fillId="0" borderId="0" xfId="8" applyFont="1" applyBorder="1" applyAlignment="1">
      <alignment vertical="center"/>
    </xf>
    <xf numFmtId="0" fontId="66" fillId="0" borderId="0" xfId="8" applyFont="1" applyFill="1"/>
    <xf numFmtId="167" fontId="37" fillId="0" borderId="1" xfId="11" applyNumberFormat="1" applyFont="1" applyBorder="1" applyAlignment="1">
      <alignment horizontal="center"/>
    </xf>
    <xf numFmtId="167" fontId="37" fillId="0" borderId="1" xfId="11" applyNumberFormat="1" applyFont="1" applyBorder="1" applyAlignment="1">
      <alignment horizontal="center" vertical="center" wrapText="1"/>
    </xf>
    <xf numFmtId="168" fontId="37" fillId="0" borderId="1" xfId="11" applyNumberFormat="1" applyFont="1" applyBorder="1" applyAlignment="1">
      <alignment horizontal="center" vertical="center" wrapText="1"/>
    </xf>
    <xf numFmtId="168" fontId="37" fillId="0" borderId="1" xfId="11" applyNumberFormat="1" applyFont="1" applyBorder="1" applyAlignment="1">
      <alignment horizontal="center" vertical="center"/>
    </xf>
    <xf numFmtId="0" fontId="37" fillId="0" borderId="1" xfId="11" applyFont="1" applyBorder="1" applyAlignment="1">
      <alignment horizontal="left"/>
    </xf>
    <xf numFmtId="2" fontId="37" fillId="2" borderId="1" xfId="11" applyNumberFormat="1" applyFont="1" applyFill="1" applyBorder="1" applyAlignment="1">
      <alignment horizontal="center"/>
    </xf>
    <xf numFmtId="0" fontId="37" fillId="0" borderId="1" xfId="13" applyFont="1" applyBorder="1" applyAlignment="1">
      <alignment horizontal="center"/>
    </xf>
    <xf numFmtId="0" fontId="12" fillId="0" borderId="1" xfId="13" applyFont="1" applyBorder="1" applyAlignment="1">
      <alignment horizontal="center"/>
    </xf>
    <xf numFmtId="167" fontId="37" fillId="2" borderId="1" xfId="13" applyNumberFormat="1" applyFont="1" applyFill="1" applyBorder="1" applyAlignment="1">
      <alignment horizontal="center"/>
    </xf>
    <xf numFmtId="167" fontId="37" fillId="0" borderId="1" xfId="13" applyNumberFormat="1" applyFont="1" applyBorder="1" applyAlignment="1">
      <alignment horizontal="center"/>
    </xf>
    <xf numFmtId="0" fontId="37" fillId="2" borderId="1" xfId="11" applyFont="1" applyFill="1" applyBorder="1" applyAlignment="1">
      <alignment horizontal="left" vertical="center" wrapText="1"/>
    </xf>
    <xf numFmtId="0" fontId="37" fillId="0" borderId="1" xfId="13" applyFont="1" applyBorder="1" applyAlignment="1">
      <alignment horizontal="center" vertical="center" wrapText="1"/>
    </xf>
    <xf numFmtId="0" fontId="37" fillId="0" borderId="1" xfId="13" applyFont="1" applyBorder="1" applyAlignment="1">
      <alignment horizontal="left" vertical="center" wrapText="1"/>
    </xf>
    <xf numFmtId="0" fontId="37" fillId="0" borderId="1" xfId="16" applyFont="1" applyBorder="1" applyAlignment="1">
      <alignment horizontal="center" vertical="center"/>
    </xf>
    <xf numFmtId="0" fontId="12" fillId="0" borderId="1" xfId="11" applyFont="1" applyBorder="1" applyAlignment="1">
      <alignment horizontal="center" vertical="center" wrapText="1"/>
    </xf>
    <xf numFmtId="0" fontId="37" fillId="0" borderId="1" xfId="14" applyFont="1" applyBorder="1" applyAlignment="1">
      <alignment horizontal="center" vertical="center"/>
    </xf>
    <xf numFmtId="2" fontId="58" fillId="2" borderId="1" xfId="8" quotePrefix="1" applyNumberFormat="1" applyFont="1" applyFill="1" applyBorder="1" applyAlignment="1">
      <alignment horizontal="center" vertical="center" wrapText="1"/>
    </xf>
    <xf numFmtId="0" fontId="12" fillId="2" borderId="1" xfId="19" applyFont="1" applyFill="1" applyBorder="1" applyAlignment="1">
      <alignment horizontal="center" vertical="center" wrapText="1"/>
    </xf>
    <xf numFmtId="0" fontId="58" fillId="2" borderId="1" xfId="19" applyFont="1" applyFill="1" applyBorder="1" applyAlignment="1">
      <alignment horizontal="left" vertical="center" wrapText="1"/>
    </xf>
    <xf numFmtId="9" fontId="37" fillId="2" borderId="1" xfId="19" applyNumberFormat="1" applyFont="1" applyFill="1" applyBorder="1" applyAlignment="1">
      <alignment horizontal="center" vertical="center" wrapText="1"/>
    </xf>
    <xf numFmtId="2" fontId="37" fillId="2" borderId="1" xfId="19" applyNumberFormat="1" applyFont="1" applyFill="1" applyBorder="1" applyAlignment="1">
      <alignment horizontal="center" vertical="center" wrapText="1"/>
    </xf>
    <xf numFmtId="0" fontId="37" fillId="2" borderId="1" xfId="20" applyFont="1" applyFill="1" applyBorder="1" applyAlignment="1">
      <alignment horizontal="center" vertical="center" wrapText="1"/>
    </xf>
    <xf numFmtId="0" fontId="13" fillId="5" borderId="1" xfId="19" applyFont="1" applyFill="1" applyBorder="1" applyAlignment="1">
      <alignment horizontal="center"/>
    </xf>
    <xf numFmtId="0" fontId="12" fillId="5" borderId="1" xfId="19" applyFont="1" applyFill="1" applyBorder="1" applyAlignment="1">
      <alignment horizontal="center"/>
    </xf>
    <xf numFmtId="0" fontId="23" fillId="5" borderId="1" xfId="19" applyFont="1" applyFill="1" applyBorder="1" applyAlignment="1">
      <alignment horizontal="center"/>
    </xf>
    <xf numFmtId="167" fontId="27" fillId="0" borderId="0" xfId="8" applyNumberFormat="1"/>
    <xf numFmtId="0" fontId="21" fillId="0" borderId="0" xfId="8" applyFont="1" applyFill="1" applyAlignment="1">
      <alignment horizontal="center" vertical="center"/>
    </xf>
    <xf numFmtId="0" fontId="27" fillId="2" borderId="0" xfId="8" applyFill="1" applyAlignment="1">
      <alignment vertical="center"/>
    </xf>
    <xf numFmtId="164" fontId="67" fillId="2" borderId="0" xfId="8" applyNumberFormat="1" applyFont="1" applyFill="1" applyAlignment="1">
      <alignment vertical="center"/>
    </xf>
    <xf numFmtId="0" fontId="23" fillId="0" borderId="0" xfId="18" applyFont="1" applyAlignment="1">
      <alignment horizontal="center" vertical="center"/>
    </xf>
    <xf numFmtId="0" fontId="21" fillId="0" borderId="0" xfId="8" applyFont="1" applyAlignment="1">
      <alignment vertical="top"/>
    </xf>
    <xf numFmtId="0" fontId="47" fillId="0" borderId="0" xfId="8" applyFont="1" applyAlignment="1">
      <alignment horizontal="center"/>
    </xf>
    <xf numFmtId="0" fontId="42" fillId="0" borderId="0" xfId="8" applyFont="1"/>
    <xf numFmtId="0" fontId="58" fillId="0" borderId="0" xfId="8" applyNumberFormat="1" applyFont="1" applyBorder="1" applyAlignment="1">
      <alignment horizontal="center" vertical="top" wrapText="1"/>
    </xf>
    <xf numFmtId="0" fontId="50" fillId="0" borderId="0" xfId="8" applyNumberFormat="1" applyFont="1" applyBorder="1" applyAlignment="1">
      <alignment horizontal="center" vertical="top" wrapText="1"/>
    </xf>
    <xf numFmtId="0" fontId="6" fillId="0" borderId="0" xfId="8" applyFont="1" applyAlignment="1">
      <alignment vertical="top" wrapText="1"/>
    </xf>
    <xf numFmtId="0" fontId="42" fillId="0" borderId="0" xfId="8" applyFont="1" applyBorder="1" applyAlignment="1">
      <alignment horizontal="center" wrapText="1"/>
    </xf>
    <xf numFmtId="0" fontId="56" fillId="0" borderId="0" xfId="8" applyFont="1"/>
    <xf numFmtId="0" fontId="21" fillId="0" borderId="31" xfId="8" applyFont="1" applyFill="1" applyBorder="1" applyAlignment="1">
      <alignment horizontal="center" vertical="center" wrapText="1"/>
    </xf>
    <xf numFmtId="0" fontId="21" fillId="0" borderId="32" xfId="8" applyFont="1" applyBorder="1" applyAlignment="1">
      <alignment horizontal="center" vertical="center" wrapText="1"/>
    </xf>
    <xf numFmtId="0" fontId="58" fillId="4" borderId="31" xfId="8" quotePrefix="1" applyFont="1" applyFill="1" applyBorder="1" applyAlignment="1">
      <alignment horizontal="center" vertical="center" wrapText="1"/>
    </xf>
    <xf numFmtId="0" fontId="12" fillId="4" borderId="31" xfId="8" quotePrefix="1" applyFont="1" applyFill="1" applyBorder="1" applyAlignment="1">
      <alignment horizontal="center" vertical="center" wrapText="1"/>
    </xf>
    <xf numFmtId="0" fontId="12" fillId="4" borderId="7" xfId="8" quotePrefix="1" applyNumberFormat="1" applyFont="1" applyFill="1" applyBorder="1" applyAlignment="1">
      <alignment horizontal="center" vertical="center" wrapText="1"/>
    </xf>
    <xf numFmtId="1" fontId="12" fillId="4" borderId="31" xfId="8" quotePrefix="1" applyNumberFormat="1" applyFont="1" applyFill="1" applyBorder="1" applyAlignment="1">
      <alignment horizontal="center" vertical="center" wrapText="1"/>
    </xf>
    <xf numFmtId="0" fontId="37" fillId="0" borderId="0" xfId="8" applyFont="1" applyAlignment="1">
      <alignment vertical="top" wrapText="1"/>
    </xf>
    <xf numFmtId="0" fontId="21" fillId="0" borderId="51" xfId="2" applyFont="1" applyBorder="1" applyAlignment="1">
      <alignment horizontal="center" vertical="center" wrapText="1"/>
    </xf>
    <xf numFmtId="0" fontId="21" fillId="0" borderId="0" xfId="8" applyFont="1" applyFill="1" applyBorder="1" applyAlignment="1">
      <alignment vertical="center"/>
    </xf>
    <xf numFmtId="1" fontId="61" fillId="0" borderId="31" xfId="21" applyNumberFormat="1" applyFont="1" applyBorder="1" applyAlignment="1">
      <alignment horizontal="center" vertical="center"/>
    </xf>
    <xf numFmtId="0" fontId="68" fillId="2" borderId="52" xfId="8" applyFont="1" applyFill="1" applyBorder="1" applyAlignment="1">
      <alignment horizontal="center" vertical="center" wrapText="1"/>
    </xf>
    <xf numFmtId="0" fontId="68" fillId="2" borderId="33" xfId="8" applyFont="1" applyFill="1" applyBorder="1" applyAlignment="1">
      <alignment horizontal="center" vertical="center" wrapText="1"/>
    </xf>
    <xf numFmtId="0" fontId="21" fillId="0" borderId="35" xfId="8" applyFont="1" applyBorder="1" applyAlignment="1">
      <alignment horizontal="center" vertical="center" textRotation="90" wrapText="1"/>
    </xf>
    <xf numFmtId="0" fontId="21" fillId="0" borderId="53" xfId="8" applyFont="1" applyFill="1" applyBorder="1" applyAlignment="1">
      <alignment horizontal="center" vertical="center" textRotation="90" wrapText="1"/>
    </xf>
    <xf numFmtId="0" fontId="21" fillId="0" borderId="54" xfId="8" applyFont="1" applyFill="1" applyBorder="1" applyAlignment="1">
      <alignment horizontal="center" vertical="center" textRotation="90" wrapText="1"/>
    </xf>
    <xf numFmtId="0" fontId="42" fillId="2" borderId="0" xfId="2" applyFont="1" applyFill="1"/>
    <xf numFmtId="0" fontId="42" fillId="0" borderId="0" xfId="2" applyFont="1"/>
    <xf numFmtId="0" fontId="68" fillId="2" borderId="51" xfId="8" applyFont="1" applyFill="1" applyBorder="1" applyAlignment="1">
      <alignment horizontal="center" vertical="center" wrapText="1"/>
    </xf>
    <xf numFmtId="0" fontId="68" fillId="2" borderId="41" xfId="8" applyFont="1" applyFill="1" applyBorder="1" applyAlignment="1">
      <alignment horizontal="center" vertical="center" wrapText="1"/>
    </xf>
    <xf numFmtId="0" fontId="21" fillId="0" borderId="0" xfId="8" applyFont="1" applyBorder="1" applyAlignment="1">
      <alignment horizontal="center" vertical="center" textRotation="90" wrapText="1"/>
    </xf>
    <xf numFmtId="0" fontId="21" fillId="0" borderId="55" xfId="8" applyFont="1" applyFill="1" applyBorder="1" applyAlignment="1">
      <alignment horizontal="center" vertical="center" textRotation="90" wrapText="1"/>
    </xf>
    <xf numFmtId="0" fontId="21" fillId="0" borderId="56" xfId="8" applyFont="1" applyFill="1" applyBorder="1" applyAlignment="1">
      <alignment horizontal="center" vertical="center" textRotation="90" wrapText="1"/>
    </xf>
    <xf numFmtId="0" fontId="69" fillId="2" borderId="0" xfId="8" applyFont="1" applyFill="1" applyAlignment="1">
      <alignment horizontal="center"/>
    </xf>
    <xf numFmtId="0" fontId="70" fillId="4" borderId="57" xfId="8" applyFont="1" applyFill="1" applyBorder="1" applyAlignment="1">
      <alignment horizontal="center" vertical="center" wrapText="1"/>
    </xf>
    <xf numFmtId="0" fontId="70" fillId="4" borderId="29" xfId="8" applyFont="1" applyFill="1" applyBorder="1" applyAlignment="1">
      <alignment horizontal="center" vertical="center" wrapText="1"/>
    </xf>
    <xf numFmtId="0" fontId="70" fillId="4" borderId="35" xfId="8" applyFont="1" applyFill="1" applyBorder="1" applyAlignment="1">
      <alignment horizontal="center" vertical="center" wrapText="1"/>
    </xf>
    <xf numFmtId="0" fontId="65" fillId="4" borderId="58" xfId="8" quotePrefix="1" applyFont="1" applyFill="1" applyBorder="1" applyAlignment="1">
      <alignment horizontal="center" vertical="center" wrapText="1"/>
    </xf>
    <xf numFmtId="0" fontId="65" fillId="4" borderId="59" xfId="8" quotePrefix="1" applyFont="1" applyFill="1" applyBorder="1" applyAlignment="1">
      <alignment horizontal="center" vertical="center" wrapText="1"/>
    </xf>
    <xf numFmtId="0" fontId="27" fillId="0" borderId="1" xfId="8" applyBorder="1"/>
    <xf numFmtId="0" fontId="37" fillId="0" borderId="1" xfId="14" applyFont="1" applyBorder="1" applyAlignment="1">
      <alignment horizontal="center" vertical="center" wrapText="1"/>
    </xf>
    <xf numFmtId="169" fontId="37" fillId="0" borderId="1" xfId="11" applyNumberFormat="1" applyFont="1" applyBorder="1" applyAlignment="1">
      <alignment horizontal="center" vertical="center" wrapText="1"/>
    </xf>
    <xf numFmtId="169" fontId="37" fillId="0" borderId="1" xfId="11" applyNumberFormat="1" applyFont="1" applyBorder="1" applyAlignment="1">
      <alignment horizontal="center" vertical="center"/>
    </xf>
    <xf numFmtId="0" fontId="37" fillId="0" borderId="1" xfId="14" applyFont="1" applyBorder="1" applyAlignment="1">
      <alignment horizontal="center"/>
    </xf>
    <xf numFmtId="164" fontId="37" fillId="0" borderId="1" xfId="11" applyNumberFormat="1" applyFont="1" applyBorder="1" applyAlignment="1">
      <alignment horizontal="center"/>
    </xf>
    <xf numFmtId="0" fontId="37" fillId="2" borderId="1" xfId="16" applyFont="1" applyFill="1" applyBorder="1" applyAlignment="1">
      <alignment horizontal="center" vertical="center"/>
    </xf>
    <xf numFmtId="0" fontId="37" fillId="0" borderId="1" xfId="16" applyFont="1" applyBorder="1" applyAlignment="1">
      <alignment horizontal="left" vertical="center" wrapText="1"/>
    </xf>
    <xf numFmtId="0" fontId="37" fillId="0" borderId="1" xfId="17" applyFont="1" applyBorder="1" applyAlignment="1">
      <alignment horizontal="center" vertical="center"/>
    </xf>
    <xf numFmtId="0" fontId="37" fillId="2" borderId="1" xfId="13" applyFont="1" applyFill="1" applyBorder="1" applyAlignment="1">
      <alignment horizontal="center" vertical="center"/>
    </xf>
    <xf numFmtId="0" fontId="37" fillId="0" borderId="1" xfId="13" applyFont="1" applyBorder="1" applyAlignment="1">
      <alignment horizontal="center" vertical="center"/>
    </xf>
    <xf numFmtId="0" fontId="37" fillId="0" borderId="1" xfId="15" applyFont="1" applyBorder="1" applyAlignment="1">
      <alignment horizontal="center" vertical="center"/>
    </xf>
    <xf numFmtId="0" fontId="37" fillId="2" borderId="1" xfId="14" applyFont="1" applyFill="1" applyBorder="1" applyAlignment="1">
      <alignment horizontal="center" vertical="center" wrapText="1"/>
    </xf>
    <xf numFmtId="0" fontId="37" fillId="0" borderId="1" xfId="15" applyFont="1" applyBorder="1" applyAlignment="1">
      <alignment horizontal="center" vertical="center" wrapText="1"/>
    </xf>
    <xf numFmtId="0" fontId="21" fillId="0" borderId="1" xfId="11" applyFont="1" applyBorder="1" applyAlignment="1">
      <alignment horizontal="center" vertical="center" wrapText="1"/>
    </xf>
    <xf numFmtId="0" fontId="10" fillId="0" borderId="29" xfId="8" applyFont="1" applyBorder="1" applyAlignment="1">
      <alignment horizontal="center" vertical="center" textRotation="90"/>
    </xf>
    <xf numFmtId="0" fontId="21" fillId="0" borderId="29" xfId="2" applyFont="1" applyBorder="1" applyAlignment="1">
      <alignment horizontal="center" vertical="center" wrapText="1"/>
    </xf>
    <xf numFmtId="0" fontId="21" fillId="0" borderId="35" xfId="2" applyFont="1" applyBorder="1" applyAlignment="1">
      <alignment horizontal="center" vertical="center" textRotation="90" wrapText="1"/>
    </xf>
    <xf numFmtId="0" fontId="27" fillId="0" borderId="42" xfId="8" applyBorder="1" applyAlignment="1">
      <alignment horizontal="center" vertical="center" textRotation="90"/>
    </xf>
    <xf numFmtId="0" fontId="21" fillId="0" borderId="42" xfId="2" applyFont="1" applyBorder="1" applyAlignment="1">
      <alignment horizontal="center" vertical="center" wrapText="1"/>
    </xf>
    <xf numFmtId="0" fontId="21" fillId="0" borderId="0" xfId="2" applyFont="1" applyBorder="1" applyAlignment="1">
      <alignment horizontal="center" vertical="center" textRotation="90" wrapText="1"/>
    </xf>
    <xf numFmtId="0" fontId="71" fillId="6" borderId="29" xfId="8" applyFont="1" applyFill="1" applyBorder="1" applyAlignment="1">
      <alignment horizontal="center"/>
    </xf>
    <xf numFmtId="0" fontId="58" fillId="6" borderId="29" xfId="2" quotePrefix="1" applyFont="1" applyFill="1" applyBorder="1" applyAlignment="1">
      <alignment horizontal="center" vertical="top" wrapText="1"/>
    </xf>
    <xf numFmtId="0" fontId="58" fillId="6" borderId="35" xfId="2" quotePrefix="1" applyNumberFormat="1" applyFont="1" applyFill="1" applyBorder="1" applyAlignment="1">
      <alignment horizontal="center" vertical="top" wrapText="1"/>
    </xf>
    <xf numFmtId="0" fontId="65" fillId="6" borderId="29" xfId="8" quotePrefix="1" applyFont="1" applyFill="1" applyBorder="1" applyAlignment="1">
      <alignment horizontal="center" vertical="center" wrapText="1"/>
    </xf>
    <xf numFmtId="0" fontId="65" fillId="6" borderId="35" xfId="8" quotePrefix="1" applyFont="1" applyFill="1" applyBorder="1" applyAlignment="1">
      <alignment horizontal="center" vertical="center" wrapText="1"/>
    </xf>
    <xf numFmtId="0" fontId="27" fillId="0" borderId="60" xfId="8" applyBorder="1" applyAlignment="1">
      <alignment horizontal="center" vertical="center" wrapText="1"/>
    </xf>
    <xf numFmtId="0" fontId="27" fillId="0" borderId="0" xfId="8" applyAlignment="1">
      <alignment wrapText="1"/>
    </xf>
    <xf numFmtId="0" fontId="27" fillId="0" borderId="18" xfId="8" applyBorder="1" applyAlignment="1">
      <alignment horizontal="center" vertical="center" wrapText="1"/>
    </xf>
    <xf numFmtId="16" fontId="10" fillId="0" borderId="18" xfId="8" applyNumberFormat="1" applyFont="1" applyBorder="1" applyAlignment="1">
      <alignment horizontal="center" vertical="center" wrapText="1"/>
    </xf>
    <xf numFmtId="0" fontId="27" fillId="0" borderId="19" xfId="8" applyBorder="1"/>
    <xf numFmtId="2" fontId="72" fillId="2" borderId="27" xfId="8" applyNumberFormat="1" applyFont="1" applyFill="1" applyBorder="1" applyAlignment="1">
      <alignment horizontal="center" vertical="center"/>
    </xf>
    <xf numFmtId="0" fontId="73" fillId="0" borderId="0" xfId="8" applyFont="1" applyAlignment="1">
      <alignment horizontal="center" vertical="center"/>
    </xf>
    <xf numFmtId="0" fontId="37" fillId="0" borderId="33" xfId="8" applyFont="1" applyFill="1" applyBorder="1" applyAlignment="1">
      <alignment horizontal="center" vertical="center" textRotation="90" wrapText="1"/>
    </xf>
    <xf numFmtId="0" fontId="37" fillId="0" borderId="35" xfId="8" applyFont="1" applyBorder="1" applyAlignment="1">
      <alignment horizontal="center" vertical="center" wrapText="1"/>
    </xf>
    <xf numFmtId="0" fontId="37" fillId="2" borderId="10" xfId="8" applyFont="1" applyFill="1" applyBorder="1" applyAlignment="1">
      <alignment horizontal="center" vertical="center" textRotation="90" wrapText="1"/>
    </xf>
    <xf numFmtId="0" fontId="37" fillId="2" borderId="11" xfId="8" applyFont="1" applyFill="1" applyBorder="1" applyAlignment="1">
      <alignment horizontal="center" vertical="center" textRotation="90" wrapText="1"/>
    </xf>
    <xf numFmtId="0" fontId="37" fillId="2" borderId="12" xfId="8" applyFont="1" applyFill="1" applyBorder="1" applyAlignment="1">
      <alignment horizontal="center" vertical="center" textRotation="90" wrapText="1"/>
    </xf>
    <xf numFmtId="0" fontId="37" fillId="2" borderId="29" xfId="8" applyFont="1" applyFill="1" applyBorder="1" applyAlignment="1">
      <alignment horizontal="center" vertical="center" textRotation="90" wrapText="1"/>
    </xf>
    <xf numFmtId="0" fontId="37" fillId="0" borderId="41" xfId="8" applyFont="1" applyFill="1" applyBorder="1" applyAlignment="1">
      <alignment horizontal="center" vertical="center" textRotation="90" wrapText="1"/>
    </xf>
    <xf numFmtId="0" fontId="37" fillId="0" borderId="0" xfId="8" applyFont="1" applyBorder="1" applyAlignment="1">
      <alignment horizontal="center" vertical="center" wrapText="1"/>
    </xf>
    <xf numFmtId="0" fontId="37" fillId="2" borderId="61" xfId="8" applyFont="1" applyFill="1" applyBorder="1" applyAlignment="1">
      <alignment horizontal="center" vertical="center" textRotation="90" wrapText="1"/>
    </xf>
    <xf numFmtId="0" fontId="37" fillId="2" borderId="62" xfId="8" applyFont="1" applyFill="1" applyBorder="1" applyAlignment="1">
      <alignment horizontal="center" vertical="center" textRotation="90" wrapText="1"/>
    </xf>
    <xf numFmtId="0" fontId="37" fillId="2" borderId="9" xfId="8" applyFont="1" applyFill="1" applyBorder="1" applyAlignment="1">
      <alignment horizontal="center" vertical="center" textRotation="90" wrapText="1"/>
    </xf>
    <xf numFmtId="0" fontId="37" fillId="2" borderId="42" xfId="8" applyFont="1" applyFill="1" applyBorder="1" applyAlignment="1">
      <alignment horizontal="center" vertical="center" textRotation="90" wrapText="1"/>
    </xf>
    <xf numFmtId="0" fontId="12" fillId="3" borderId="29" xfId="8" quotePrefix="1" applyFont="1" applyFill="1" applyBorder="1" applyAlignment="1">
      <alignment horizontal="center" vertical="center" wrapText="1"/>
    </xf>
    <xf numFmtId="0" fontId="12" fillId="3" borderId="35" xfId="8" quotePrefix="1" applyFont="1" applyFill="1" applyBorder="1" applyAlignment="1">
      <alignment horizontal="center" vertical="center" wrapText="1"/>
    </xf>
    <xf numFmtId="0" fontId="12" fillId="3" borderId="57" xfId="8" quotePrefix="1" applyNumberFormat="1" applyFont="1" applyFill="1" applyBorder="1" applyAlignment="1">
      <alignment horizontal="center" vertical="center" wrapText="1"/>
    </xf>
    <xf numFmtId="0" fontId="12" fillId="3" borderId="11" xfId="8" quotePrefix="1" applyNumberFormat="1" applyFont="1" applyFill="1" applyBorder="1" applyAlignment="1">
      <alignment horizontal="center" vertical="center" wrapText="1"/>
    </xf>
    <xf numFmtId="0" fontId="12" fillId="3" borderId="12" xfId="8" quotePrefix="1" applyNumberFormat="1" applyFont="1" applyFill="1" applyBorder="1" applyAlignment="1">
      <alignment horizontal="center" vertical="center" wrapText="1"/>
    </xf>
    <xf numFmtId="0" fontId="12" fillId="3" borderId="30" xfId="8" quotePrefix="1" applyNumberFormat="1" applyFont="1" applyFill="1" applyBorder="1" applyAlignment="1">
      <alignment horizontal="center" vertical="center" wrapText="1"/>
    </xf>
    <xf numFmtId="2" fontId="37" fillId="2" borderId="46" xfId="8" applyNumberFormat="1" applyFont="1" applyFill="1" applyBorder="1" applyAlignment="1">
      <alignment horizontal="center" vertical="center" wrapText="1"/>
    </xf>
    <xf numFmtId="0" fontId="37" fillId="0" borderId="0" xfId="8" applyFont="1" applyBorder="1" applyAlignment="1">
      <alignment vertical="top" wrapText="1"/>
    </xf>
    <xf numFmtId="167" fontId="37" fillId="2" borderId="1" xfId="11" applyNumberFormat="1" applyFont="1" applyFill="1" applyBorder="1" applyAlignment="1">
      <alignment horizontal="center" vertical="center"/>
    </xf>
    <xf numFmtId="0" fontId="37" fillId="2" borderId="0" xfId="8" applyFont="1" applyFill="1" applyAlignment="1">
      <alignment vertical="top" wrapText="1"/>
    </xf>
    <xf numFmtId="167" fontId="37" fillId="2" borderId="1" xfId="19" applyNumberFormat="1" applyFont="1" applyFill="1" applyBorder="1" applyAlignment="1">
      <alignment horizontal="center" vertical="center" wrapText="1"/>
    </xf>
    <xf numFmtId="0" fontId="37" fillId="2" borderId="35" xfId="8" applyFont="1" applyFill="1" applyBorder="1" applyAlignment="1">
      <alignment horizontal="center" vertical="center" textRotation="90" wrapText="1"/>
    </xf>
    <xf numFmtId="0" fontId="37" fillId="2" borderId="40" xfId="8" applyFont="1" applyFill="1" applyBorder="1" applyAlignment="1">
      <alignment horizontal="center" vertical="center" textRotation="90" wrapText="1"/>
    </xf>
    <xf numFmtId="0" fontId="37" fillId="2" borderId="0" xfId="8" applyFont="1" applyFill="1" applyBorder="1" applyAlignment="1">
      <alignment horizontal="center" vertical="center" textRotation="90" wrapText="1"/>
    </xf>
    <xf numFmtId="0" fontId="37" fillId="2" borderId="43" xfId="8" applyFont="1" applyFill="1" applyBorder="1" applyAlignment="1">
      <alignment horizontal="center" vertical="center" textRotation="90" wrapText="1"/>
    </xf>
    <xf numFmtId="0" fontId="70" fillId="6" borderId="29" xfId="8" applyFont="1" applyFill="1" applyBorder="1" applyAlignment="1">
      <alignment horizontal="center" vertical="center" wrapText="1"/>
    </xf>
    <xf numFmtId="0" fontId="70" fillId="6" borderId="35" xfId="8" applyFont="1" applyFill="1" applyBorder="1" applyAlignment="1">
      <alignment horizontal="center" vertical="center" wrapText="1"/>
    </xf>
    <xf numFmtId="0" fontId="69" fillId="6" borderId="35" xfId="8" applyFont="1" applyFill="1" applyBorder="1" applyAlignment="1">
      <alignment horizontal="center"/>
    </xf>
    <xf numFmtId="0" fontId="69" fillId="6" borderId="29" xfId="8" applyFont="1" applyFill="1" applyBorder="1" applyAlignment="1">
      <alignment horizontal="center"/>
    </xf>
    <xf numFmtId="0" fontId="69" fillId="6" borderId="44" xfId="8" applyFont="1" applyFill="1" applyBorder="1" applyAlignment="1">
      <alignment horizontal="center"/>
    </xf>
    <xf numFmtId="16" fontId="37" fillId="0" borderId="1" xfId="11" applyNumberFormat="1" applyFont="1" applyBorder="1" applyAlignment="1">
      <alignment horizontal="center" vertical="center"/>
    </xf>
    <xf numFmtId="2" fontId="74" fillId="2" borderId="46" xfId="8" applyNumberFormat="1" applyFont="1" applyFill="1" applyBorder="1" applyAlignment="1">
      <alignment horizontal="center" vertical="center"/>
    </xf>
    <xf numFmtId="164" fontId="27" fillId="0" borderId="0" xfId="8" applyNumberFormat="1"/>
    <xf numFmtId="0" fontId="69" fillId="6" borderId="29" xfId="8" applyFont="1" applyFill="1" applyBorder="1" applyAlignment="1">
      <alignment horizontal="center" vertical="center" wrapText="1"/>
    </xf>
    <xf numFmtId="0" fontId="69" fillId="6" borderId="35" xfId="8" applyFont="1" applyFill="1" applyBorder="1" applyAlignment="1">
      <alignment horizontal="center" vertical="center" wrapText="1"/>
    </xf>
    <xf numFmtId="0" fontId="27" fillId="0" borderId="0" xfId="8" applyAlignment="1">
      <alignment vertical="center"/>
    </xf>
    <xf numFmtId="0" fontId="37" fillId="0" borderId="50" xfId="8" applyFont="1" applyBorder="1" applyAlignment="1">
      <alignment horizontal="center" vertical="center"/>
    </xf>
    <xf numFmtId="168" fontId="37" fillId="0" borderId="1" xfId="11" applyNumberFormat="1" applyFont="1" applyBorder="1" applyAlignment="1">
      <alignment horizontal="center"/>
    </xf>
    <xf numFmtId="2" fontId="59" fillId="2" borderId="0" xfId="20" applyNumberFormat="1" applyFont="1" applyFill="1" applyBorder="1" applyAlignment="1">
      <alignment horizontal="center" vertical="center"/>
    </xf>
    <xf numFmtId="0" fontId="37" fillId="2" borderId="0" xfId="8" applyFont="1" applyFill="1" applyBorder="1"/>
    <xf numFmtId="170" fontId="37" fillId="2" borderId="0" xfId="8" applyNumberFormat="1" applyFont="1" applyFill="1" applyBorder="1"/>
    <xf numFmtId="2" fontId="63" fillId="2" borderId="0" xfId="4" quotePrefix="1" applyNumberFormat="1" applyFont="1" applyFill="1" applyBorder="1" applyAlignment="1">
      <alignment horizontal="center" vertical="center"/>
    </xf>
    <xf numFmtId="0" fontId="21" fillId="2" borderId="1" xfId="19" applyFont="1" applyFill="1" applyBorder="1" applyAlignment="1">
      <alignment horizontal="left" vertical="center" wrapText="1"/>
    </xf>
    <xf numFmtId="49" fontId="61" fillId="0" borderId="41" xfId="21" applyNumberFormat="1" applyFont="1" applyBorder="1" applyAlignment="1">
      <alignment horizontal="center" vertical="center"/>
    </xf>
    <xf numFmtId="0" fontId="37" fillId="2" borderId="30" xfId="19" applyFont="1" applyFill="1" applyBorder="1" applyAlignment="1">
      <alignment horizontal="center" vertical="center"/>
    </xf>
    <xf numFmtId="49" fontId="21" fillId="0" borderId="30" xfId="21" applyNumberFormat="1" applyFont="1" applyBorder="1" applyAlignment="1">
      <alignment horizontal="left" vertical="center" wrapText="1"/>
    </xf>
    <xf numFmtId="49" fontId="21" fillId="0" borderId="30" xfId="21" applyNumberFormat="1" applyFont="1" applyBorder="1" applyAlignment="1">
      <alignment horizontal="center" vertical="center"/>
    </xf>
    <xf numFmtId="0" fontId="61" fillId="0" borderId="30" xfId="21" applyFont="1" applyBorder="1" applyAlignment="1">
      <alignment horizontal="center" vertical="center"/>
    </xf>
    <xf numFmtId="4" fontId="61" fillId="0" borderId="30" xfId="21" applyNumberFormat="1" applyFont="1" applyBorder="1" applyAlignment="1">
      <alignment horizontal="center" vertical="center" wrapText="1"/>
    </xf>
    <xf numFmtId="0" fontId="12" fillId="2" borderId="3" xfId="19" applyFont="1" applyFill="1" applyBorder="1" applyAlignment="1">
      <alignment horizontal="center" vertical="center"/>
    </xf>
    <xf numFmtId="0" fontId="12" fillId="2" borderId="30" xfId="19" applyFont="1" applyFill="1" applyBorder="1" applyAlignment="1">
      <alignment horizontal="center" vertical="center"/>
    </xf>
    <xf numFmtId="167" fontId="12" fillId="2" borderId="30" xfId="19" applyNumberFormat="1" applyFont="1" applyFill="1" applyBorder="1" applyAlignment="1">
      <alignment horizontal="center" vertical="center"/>
    </xf>
    <xf numFmtId="0" fontId="12" fillId="2" borderId="30" xfId="20" applyFont="1" applyFill="1" applyBorder="1" applyAlignment="1">
      <alignment horizontal="center" vertical="center"/>
    </xf>
    <xf numFmtId="2" fontId="63" fillId="2" borderId="30" xfId="8" quotePrefix="1" applyNumberFormat="1" applyFont="1" applyFill="1" applyBorder="1" applyAlignment="1">
      <alignment horizontal="center" vertical="center"/>
    </xf>
    <xf numFmtId="171" fontId="55" fillId="0" borderId="0" xfId="12" applyNumberFormat="1" applyFont="1" applyFill="1" applyAlignment="1">
      <alignment horizontal="center" vertical="center" wrapText="1"/>
    </xf>
    <xf numFmtId="0" fontId="13" fillId="2" borderId="1" xfId="13" applyFont="1" applyFill="1" applyBorder="1" applyAlignment="1">
      <alignment horizontal="left" vertical="center"/>
    </xf>
    <xf numFmtId="2" fontId="13" fillId="2" borderId="1" xfId="13" applyNumberFormat="1" applyFont="1" applyFill="1" applyBorder="1" applyAlignment="1">
      <alignment horizontal="left" vertical="center"/>
    </xf>
    <xf numFmtId="0" fontId="13" fillId="5" borderId="1" xfId="19" applyFont="1" applyFill="1" applyBorder="1" applyAlignment="1">
      <alignment horizontal="left"/>
    </xf>
    <xf numFmtId="0" fontId="12" fillId="5" borderId="1" xfId="19" applyFont="1" applyFill="1" applyBorder="1" applyAlignment="1">
      <alignment horizontal="left"/>
    </xf>
    <xf numFmtId="0" fontId="23" fillId="5" borderId="1" xfId="19" applyFont="1" applyFill="1" applyBorder="1" applyAlignment="1">
      <alignment horizontal="left"/>
    </xf>
    <xf numFmtId="2" fontId="13" fillId="5" borderId="1" xfId="19" applyNumberFormat="1" applyFont="1" applyFill="1" applyBorder="1" applyAlignment="1">
      <alignment horizontal="left"/>
    </xf>
    <xf numFmtId="0" fontId="12" fillId="2" borderId="1" xfId="19" applyFont="1" applyFill="1" applyBorder="1" applyAlignment="1">
      <alignment horizontal="left" vertical="center" wrapText="1"/>
    </xf>
    <xf numFmtId="9" fontId="37" fillId="2" borderId="1" xfId="19" applyNumberFormat="1" applyFont="1" applyFill="1" applyBorder="1" applyAlignment="1">
      <alignment horizontal="left" vertical="center" wrapText="1"/>
    </xf>
    <xf numFmtId="167" fontId="37" fillId="2" borderId="1" xfId="19" applyNumberFormat="1" applyFont="1" applyFill="1" applyBorder="1" applyAlignment="1">
      <alignment horizontal="left" vertical="center" wrapText="1"/>
    </xf>
    <xf numFmtId="2" fontId="37" fillId="2" borderId="1" xfId="20" applyNumberFormat="1" applyFont="1" applyFill="1" applyBorder="1" applyAlignment="1">
      <alignment horizontal="left" vertical="center" wrapText="1"/>
    </xf>
    <xf numFmtId="172" fontId="27" fillId="0" borderId="0" xfId="8" applyNumberFormat="1"/>
    <xf numFmtId="4" fontId="61" fillId="0" borderId="31" xfId="21" applyNumberFormat="1" applyFont="1" applyBorder="1" applyAlignment="1">
      <alignment horizontal="right" vertical="center" wrapText="1"/>
    </xf>
    <xf numFmtId="49" fontId="61" fillId="0" borderId="51" xfId="21" applyNumberFormat="1" applyFont="1" applyBorder="1" applyAlignment="1">
      <alignment horizontal="left" vertical="center" wrapText="1"/>
    </xf>
    <xf numFmtId="0" fontId="61" fillId="0" borderId="41" xfId="21" applyFont="1" applyBorder="1" applyAlignment="1">
      <alignment horizontal="center" vertical="center"/>
    </xf>
    <xf numFmtId="4" fontId="61" fillId="0" borderId="41" xfId="21" applyNumberFormat="1" applyFont="1" applyBorder="1" applyAlignment="1">
      <alignment horizontal="center" vertical="center" wrapText="1"/>
    </xf>
  </cellXfs>
  <cellStyles count="22">
    <cellStyle name="Comma_Q. MCXETA-cxrili" xfId="10"/>
    <cellStyle name="Normal" xfId="0" builtinId="0"/>
    <cellStyle name="Normal 10" xfId="18"/>
    <cellStyle name="Normal 11 2 2" xfId="4"/>
    <cellStyle name="Normal 2" xfId="8"/>
    <cellStyle name="Normal 2 3" xfId="6"/>
    <cellStyle name="Normal 2 3 2" xfId="9"/>
    <cellStyle name="Normal 2 9" xfId="12"/>
    <cellStyle name="Normal 3 2" xfId="1"/>
    <cellStyle name="Normal 4" xfId="3"/>
    <cellStyle name="Normal 6" xfId="11"/>
    <cellStyle name="Normal_Bagdati-winaswari" xfId="5"/>
    <cellStyle name="Normal_gare wyalsadfenigagarini 10" xfId="14"/>
    <cellStyle name="Normal_gare wyalsadfenigagarini 2 2" xfId="20"/>
    <cellStyle name="Normal_gare wyalsadfenigagarini 2_SMSH2008-IIkv ." xfId="15"/>
    <cellStyle name="Normal_gare wyalsadfenigagarini_QW68 -8-24" xfId="17"/>
    <cellStyle name="Normal_SMETA 3" xfId="16"/>
    <cellStyle name="Style 1" xfId="2"/>
    <cellStyle name="Обычный 2 2" xfId="13"/>
    <cellStyle name="Обычный 4 2" xfId="19"/>
    <cellStyle name="Обычный_Спецификация оборудования, изделий и материалов" xfId="21"/>
    <cellStyle name="Стиль 1" xfId="7"/>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calcChain" Target="calcChain.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334;&#4304;&#4320;&#4335;&#4311;&#4304;&#4326;&#4320;&#4312;&#4330;&#4334;&#4309;&#4304;%20&#4315;&#4311;&#4312;&#4321;%20&#4325;&#4317;&#4334;&#4308;&#4305;&#4312;%20-%20&#4306;&#4304;&#4321;&#4323;&#4324;&#4311;&#4304;&#4309;&#4308;&#4305;&#4323;&#4314;&#4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ნაკრები"/>
      <sheetName val="D-nakr"/>
      <sheetName val="D-dgiuri"/>
      <sheetName val="sv"/>
      <sheetName val="ob N1"/>
      <sheetName val=" N1-1"/>
      <sheetName val="N1-2"/>
      <sheetName val="N1-3"/>
      <sheetName val="N1-4 "/>
      <sheetName val="N1-5"/>
      <sheetName val="N1-6"/>
      <sheetName val="N1-7"/>
      <sheetName val="N1-8"/>
      <sheetName val="ob.N2"/>
      <sheetName val="N2-1"/>
      <sheetName val="N2-2"/>
      <sheetName val="N2-3"/>
      <sheetName val="N2-4"/>
      <sheetName val="N2-5"/>
      <sheetName val="N2-6"/>
      <sheetName val="N2-7"/>
      <sheetName val="N2-8"/>
      <sheetName val="ob.N3"/>
      <sheetName val="N3-1"/>
      <sheetName val="N3-2"/>
      <sheetName val="N3-3"/>
      <sheetName val="N3-4"/>
      <sheetName val="N3-5"/>
      <sheetName val="N3-6"/>
      <sheetName val="N3-7"/>
      <sheetName val="N3-8"/>
      <sheetName val="ob.N4"/>
      <sheetName val="N4-1"/>
      <sheetName val="N4-2"/>
      <sheetName val="N4-3"/>
      <sheetName val="N4-4"/>
      <sheetName val="N4-5"/>
      <sheetName val="N4-6"/>
      <sheetName val="N4-7"/>
      <sheetName val="N4-8"/>
      <sheetName val="ob.N5"/>
      <sheetName val="N5-1"/>
      <sheetName val="N5-2"/>
      <sheetName val="N5-3"/>
      <sheetName val="N5-4"/>
      <sheetName val="N5-5"/>
      <sheetName val="N5-6"/>
      <sheetName val="N5-7"/>
      <sheetName val="ob.N6"/>
      <sheetName val="N6-1"/>
      <sheetName val="N6-2"/>
      <sheetName val="N6-3"/>
      <sheetName val="N6-4"/>
      <sheetName val="N6-5"/>
      <sheetName val="N6-6"/>
      <sheetName val="N6-7"/>
      <sheetName val="N6-8"/>
      <sheetName val="ob.N7"/>
      <sheetName val="N7-1"/>
      <sheetName val="N7-2"/>
      <sheetName val="N7-3"/>
      <sheetName val="N7-4"/>
      <sheetName val="N7-5"/>
      <sheetName val="N7-6"/>
      <sheetName val="N7-7"/>
      <sheetName val="N7-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7"/>
  <sheetViews>
    <sheetView tabSelected="1" workbookViewId="0">
      <selection activeCell="F7" sqref="F7"/>
    </sheetView>
  </sheetViews>
  <sheetFormatPr defaultRowHeight="15"/>
  <cols>
    <col min="2" max="2" width="73.7109375" customWidth="1"/>
    <col min="3" max="3" width="53" customWidth="1"/>
  </cols>
  <sheetData>
    <row r="1" spans="1:3">
      <c r="A1" s="48" t="s">
        <v>1189</v>
      </c>
      <c r="B1" s="48"/>
      <c r="C1" s="48"/>
    </row>
    <row r="2" spans="1:3">
      <c r="A2" s="49" t="s">
        <v>1192</v>
      </c>
      <c r="B2" s="49"/>
      <c r="C2" s="49"/>
    </row>
    <row r="3" spans="1:3">
      <c r="A3" s="50" t="s">
        <v>1</v>
      </c>
      <c r="B3" s="51" t="s">
        <v>387</v>
      </c>
      <c r="C3" s="51" t="s">
        <v>3</v>
      </c>
    </row>
    <row r="4" spans="1:3">
      <c r="A4" s="50"/>
      <c r="B4" s="52"/>
      <c r="C4" s="52"/>
    </row>
    <row r="5" spans="1:3">
      <c r="A5" s="46" t="s">
        <v>5</v>
      </c>
      <c r="B5" s="46" t="s">
        <v>1190</v>
      </c>
      <c r="C5" s="12">
        <f ca="1">' კრებსითი (ბილიკი)'!D11</f>
        <v>0</v>
      </c>
    </row>
    <row r="6" spans="1:3">
      <c r="A6" s="46" t="s">
        <v>7</v>
      </c>
      <c r="B6" s="46" t="s">
        <v>1191</v>
      </c>
      <c r="C6" s="12">
        <f>'კრებსითი (ქოხები)'!D13</f>
        <v>0</v>
      </c>
    </row>
    <row r="7" spans="1:3">
      <c r="A7" s="46"/>
      <c r="B7" s="47" t="s">
        <v>13</v>
      </c>
      <c r="C7" s="12">
        <f ca="1">C5+C6</f>
        <v>0</v>
      </c>
    </row>
  </sheetData>
  <mergeCells count="5">
    <mergeCell ref="A1:C1"/>
    <mergeCell ref="A2:C2"/>
    <mergeCell ref="A3:A4"/>
    <mergeCell ref="B3:B4"/>
    <mergeCell ref="C3:C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C6" zoomScale="115" zoomScaleNormal="115" workbookViewId="0">
      <selection activeCell="E18" sqref="E18"/>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147</v>
      </c>
      <c r="B3" s="64"/>
      <c r="C3" s="64"/>
      <c r="D3" s="64"/>
      <c r="E3" s="64"/>
      <c r="F3" s="64"/>
    </row>
    <row r="4" spans="1:6">
      <c r="A4" s="63" t="s">
        <v>48</v>
      </c>
      <c r="B4" s="64"/>
      <c r="C4" s="64"/>
      <c r="D4" s="64"/>
      <c r="E4" s="64"/>
      <c r="F4" s="64"/>
    </row>
    <row r="5" spans="1:6">
      <c r="A5" s="65" t="s">
        <v>131</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2</v>
      </c>
      <c r="E7" s="3"/>
      <c r="F7" s="12"/>
    </row>
    <row r="8" spans="1:6">
      <c r="A8" s="3">
        <v>2</v>
      </c>
      <c r="B8" s="18" t="s">
        <v>113</v>
      </c>
      <c r="C8" s="3" t="s">
        <v>47</v>
      </c>
      <c r="D8" s="3">
        <v>4</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0.309</v>
      </c>
      <c r="E11" s="3"/>
      <c r="F11" s="12"/>
    </row>
    <row r="12" spans="1:6">
      <c r="A12" s="28">
        <v>6</v>
      </c>
      <c r="B12" s="18" t="s">
        <v>123</v>
      </c>
      <c r="C12" s="3" t="s">
        <v>52</v>
      </c>
      <c r="D12" s="3">
        <v>18.600000000000001</v>
      </c>
      <c r="E12" s="3"/>
      <c r="F12" s="12"/>
    </row>
    <row r="13" spans="1:6">
      <c r="A13" s="28">
        <v>7</v>
      </c>
      <c r="B13" s="18" t="s">
        <v>130</v>
      </c>
      <c r="C13" s="3" t="s">
        <v>46</v>
      </c>
      <c r="D13" s="3">
        <f>D16*0.78</f>
        <v>3.12</v>
      </c>
      <c r="E13" s="3"/>
      <c r="F13" s="12"/>
    </row>
    <row r="14" spans="1:6">
      <c r="A14" s="28">
        <v>8</v>
      </c>
      <c r="B14" s="18" t="s">
        <v>120</v>
      </c>
      <c r="C14" s="3" t="s">
        <v>119</v>
      </c>
      <c r="D14" s="3">
        <f>53*2+4*4</f>
        <v>122</v>
      </c>
      <c r="E14" s="3"/>
      <c r="F14" s="12"/>
    </row>
    <row r="15" spans="1:6">
      <c r="A15" s="28">
        <v>9</v>
      </c>
      <c r="B15" s="21" t="s">
        <v>121</v>
      </c>
      <c r="C15" s="3" t="s">
        <v>51</v>
      </c>
      <c r="D15" s="3">
        <v>174</v>
      </c>
      <c r="E15" s="3"/>
      <c r="F15" s="12"/>
    </row>
    <row r="16" spans="1:6" ht="30">
      <c r="A16" s="28">
        <v>10</v>
      </c>
      <c r="B16" s="18" t="s">
        <v>122</v>
      </c>
      <c r="C16" s="3" t="s">
        <v>115</v>
      </c>
      <c r="D16" s="3">
        <v>4</v>
      </c>
      <c r="E16" s="3"/>
      <c r="F16" s="12"/>
    </row>
    <row r="17" spans="1:6">
      <c r="A17" s="28">
        <v>11</v>
      </c>
      <c r="B17" s="18" t="s">
        <v>124</v>
      </c>
      <c r="C17" s="3" t="s">
        <v>118</v>
      </c>
      <c r="D17" s="3">
        <f>D11+(D9*2.5)</f>
        <v>1.5089999999999999</v>
      </c>
      <c r="E17" s="3"/>
      <c r="F17" s="12"/>
    </row>
    <row r="18" spans="1:6">
      <c r="A18" s="28">
        <v>12</v>
      </c>
      <c r="B18" s="21" t="s">
        <v>125</v>
      </c>
      <c r="C18" s="3" t="s">
        <v>118</v>
      </c>
      <c r="D18" s="3">
        <f>D17</f>
        <v>1.5089999999999999</v>
      </c>
      <c r="E18" s="3"/>
      <c r="F18" s="12"/>
    </row>
    <row r="19" spans="1:6">
      <c r="A19" s="28">
        <v>13</v>
      </c>
      <c r="B19" s="18" t="s">
        <v>127</v>
      </c>
      <c r="C19" s="3" t="s">
        <v>128</v>
      </c>
      <c r="D19" s="3">
        <v>50</v>
      </c>
      <c r="E19" s="3"/>
      <c r="F19" s="12"/>
    </row>
    <row r="20" spans="1:6">
      <c r="A20" s="28">
        <v>14</v>
      </c>
      <c r="B20" s="18" t="s">
        <v>386</v>
      </c>
      <c r="C20" s="28" t="s">
        <v>118</v>
      </c>
      <c r="D20" s="28">
        <f>D11</f>
        <v>0.309</v>
      </c>
      <c r="E20" s="28"/>
      <c r="F20" s="12"/>
    </row>
    <row r="21" spans="1:6">
      <c r="A21" s="28">
        <v>15</v>
      </c>
      <c r="B21" s="18" t="s">
        <v>150</v>
      </c>
      <c r="C21" s="6" t="s">
        <v>51</v>
      </c>
      <c r="D21" s="3">
        <v>2</v>
      </c>
      <c r="E21" s="3"/>
      <c r="F21" s="12"/>
    </row>
    <row r="22" spans="1:6">
      <c r="A22" s="28">
        <v>16</v>
      </c>
      <c r="B22" s="18" t="s">
        <v>129</v>
      </c>
      <c r="C22" s="3" t="s">
        <v>115</v>
      </c>
      <c r="D22" s="3">
        <f>D16</f>
        <v>4</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9"/>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6" s="199" customFormat="1" ht="32.25" customHeight="1">
      <c r="A1" s="231" t="str">
        <f>'N2-7'!A1:F1</f>
        <v>yazbegis, aragvis, fSav-xevsureTisa da TuSeTis dacul teritoriebze arsebuli 7 qoxis saxarjTaRricxvo dokumentacia.</v>
      </c>
      <c r="B1" s="198"/>
      <c r="C1" s="198"/>
      <c r="D1" s="198"/>
      <c r="E1" s="198"/>
      <c r="F1" s="198"/>
    </row>
    <row r="2" spans="1:6" s="376" customFormat="1" ht="13.5" customHeight="1">
      <c r="A2" s="375" t="s">
        <v>664</v>
      </c>
      <c r="B2" s="375"/>
      <c r="C2" s="375"/>
      <c r="D2" s="375"/>
      <c r="E2" s="375"/>
      <c r="F2" s="375"/>
    </row>
    <row r="3" spans="1:6" s="376" customFormat="1" ht="19.5" customHeight="1">
      <c r="A3" s="330" t="s">
        <v>858</v>
      </c>
      <c r="B3" s="330"/>
      <c r="C3" s="330"/>
      <c r="D3" s="330"/>
      <c r="E3" s="330"/>
      <c r="F3" s="330"/>
    </row>
    <row r="4" spans="1:6" s="335" customFormat="1" ht="20.25" customHeight="1">
      <c r="A4" s="377" t="s">
        <v>941</v>
      </c>
      <c r="B4" s="377"/>
      <c r="C4" s="377"/>
      <c r="D4" s="377"/>
      <c r="E4" s="377"/>
      <c r="F4" s="377"/>
    </row>
    <row r="5" spans="1:6" s="199" customFormat="1" ht="19.5" customHeight="1" thickBot="1">
      <c r="A5" s="379" t="s">
        <v>847</v>
      </c>
      <c r="B5" s="379"/>
      <c r="C5" s="379"/>
      <c r="D5" s="379"/>
      <c r="E5" s="379"/>
      <c r="F5" s="379"/>
    </row>
    <row r="6" spans="1:6" ht="87.6" customHeight="1" thickBot="1">
      <c r="A6" s="381" t="s">
        <v>523</v>
      </c>
      <c r="B6" s="382" t="s">
        <v>524</v>
      </c>
      <c r="C6" s="383" t="s">
        <v>525</v>
      </c>
      <c r="D6" s="384" t="s">
        <v>411</v>
      </c>
      <c r="E6" s="385" t="s">
        <v>526</v>
      </c>
      <c r="F6" s="386" t="s">
        <v>527</v>
      </c>
    </row>
    <row r="7" spans="1:6" ht="16.5" thickBot="1">
      <c r="A7" s="387">
        <v>1</v>
      </c>
      <c r="B7" s="388">
        <v>2</v>
      </c>
      <c r="C7" s="389">
        <v>3</v>
      </c>
      <c r="D7" s="390" t="s">
        <v>488</v>
      </c>
      <c r="E7" s="391" t="s">
        <v>513</v>
      </c>
      <c r="F7" s="392" t="s">
        <v>515</v>
      </c>
    </row>
    <row r="8" spans="1:6" s="397" customFormat="1" ht="36.75" customHeight="1">
      <c r="A8" s="393" t="s">
        <v>5</v>
      </c>
      <c r="B8" s="394" t="s">
        <v>848</v>
      </c>
      <c r="C8" s="393" t="s">
        <v>674</v>
      </c>
      <c r="D8" s="395">
        <v>1</v>
      </c>
      <c r="E8" s="396"/>
      <c r="F8" s="396"/>
    </row>
    <row r="9" spans="1:6" s="397" customFormat="1" ht="53.25" customHeight="1">
      <c r="A9" s="393" t="s">
        <v>7</v>
      </c>
      <c r="B9" s="394" t="s">
        <v>849</v>
      </c>
      <c r="C9" s="393" t="s">
        <v>674</v>
      </c>
      <c r="D9" s="395">
        <v>2</v>
      </c>
      <c r="E9" s="396"/>
      <c r="F9" s="396"/>
    </row>
    <row r="10" spans="1:6" s="398" customFormat="1" ht="76.5">
      <c r="A10" s="393" t="s">
        <v>487</v>
      </c>
      <c r="B10" s="394" t="s">
        <v>850</v>
      </c>
      <c r="C10" s="393" t="s">
        <v>674</v>
      </c>
      <c r="D10" s="395">
        <v>3</v>
      </c>
      <c r="E10" s="396"/>
      <c r="F10" s="396"/>
    </row>
    <row r="11" spans="1:6" s="397" customFormat="1" ht="31.5" customHeight="1">
      <c r="A11" s="393" t="s">
        <v>488</v>
      </c>
      <c r="B11" s="394" t="s">
        <v>851</v>
      </c>
      <c r="C11" s="393" t="s">
        <v>824</v>
      </c>
      <c r="D11" s="395">
        <v>40</v>
      </c>
      <c r="E11" s="396"/>
      <c r="F11" s="396"/>
    </row>
    <row r="12" spans="1:6" s="398" customFormat="1" ht="31.5" customHeight="1">
      <c r="A12" s="393" t="s">
        <v>513</v>
      </c>
      <c r="B12" s="394" t="s">
        <v>852</v>
      </c>
      <c r="C12" s="393" t="s">
        <v>674</v>
      </c>
      <c r="D12" s="395">
        <v>10</v>
      </c>
      <c r="E12" s="396"/>
      <c r="F12" s="396"/>
    </row>
    <row r="13" spans="1:6" s="398" customFormat="1" ht="31.5" customHeight="1">
      <c r="A13" s="393" t="s">
        <v>515</v>
      </c>
      <c r="B13" s="394" t="s">
        <v>853</v>
      </c>
      <c r="C13" s="393" t="s">
        <v>824</v>
      </c>
      <c r="D13" s="395">
        <v>36</v>
      </c>
      <c r="E13" s="396"/>
      <c r="F13" s="396"/>
    </row>
    <row r="14" spans="1:6" s="398" customFormat="1" ht="31.5" customHeight="1">
      <c r="A14" s="393" t="s">
        <v>675</v>
      </c>
      <c r="B14" s="394" t="s">
        <v>854</v>
      </c>
      <c r="C14" s="393" t="s">
        <v>667</v>
      </c>
      <c r="D14" s="395">
        <v>1</v>
      </c>
      <c r="E14" s="396"/>
      <c r="F14" s="396"/>
    </row>
    <row r="15" spans="1:6" s="398" customFormat="1" ht="31.5" customHeight="1">
      <c r="A15" s="393" t="s">
        <v>686</v>
      </c>
      <c r="B15" s="394" t="s">
        <v>942</v>
      </c>
      <c r="C15" s="393" t="s">
        <v>667</v>
      </c>
      <c r="D15" s="395">
        <v>1</v>
      </c>
      <c r="E15" s="396"/>
      <c r="F15" s="396"/>
    </row>
    <row r="16" spans="1:6" s="398" customFormat="1" ht="31.5" customHeight="1">
      <c r="A16" s="393" t="s">
        <v>688</v>
      </c>
      <c r="B16" s="394" t="s">
        <v>943</v>
      </c>
      <c r="C16" s="393" t="s">
        <v>667</v>
      </c>
      <c r="D16" s="395">
        <v>1</v>
      </c>
      <c r="E16" s="396"/>
      <c r="F16" s="396"/>
    </row>
    <row r="17" spans="1:6">
      <c r="A17" s="393" t="s">
        <v>690</v>
      </c>
      <c r="B17" s="394" t="s">
        <v>854</v>
      </c>
      <c r="C17" s="393" t="s">
        <v>667</v>
      </c>
      <c r="D17" s="395">
        <v>1</v>
      </c>
      <c r="E17" s="396"/>
      <c r="F17" s="396"/>
    </row>
    <row r="18" spans="1:6" s="398" customFormat="1" ht="22.5" customHeight="1">
      <c r="A18" s="393" t="s">
        <v>692</v>
      </c>
      <c r="B18" s="401" t="s">
        <v>702</v>
      </c>
      <c r="C18" s="393" t="s">
        <v>667</v>
      </c>
      <c r="D18" s="402">
        <v>1</v>
      </c>
      <c r="E18" s="403"/>
      <c r="F18" s="396"/>
    </row>
    <row r="19" spans="1:6" s="398" customFormat="1" ht="20.25" customHeight="1">
      <c r="A19" s="404"/>
      <c r="B19" s="404" t="s">
        <v>407</v>
      </c>
      <c r="C19" s="404"/>
      <c r="D19" s="405"/>
      <c r="E19" s="406"/>
      <c r="F19" s="407">
        <f>SUM(F8:F18)</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K17"/>
  <sheetViews>
    <sheetView topLeftCell="A10" zoomScaleNormal="100" workbookViewId="0">
      <selection activeCell="B8" sqref="B8"/>
    </sheetView>
  </sheetViews>
  <sheetFormatPr defaultRowHeight="12.75"/>
  <cols>
    <col min="1" max="1" width="7.7109375" style="104" customWidth="1"/>
    <col min="2" max="2" width="10.7109375" style="104" customWidth="1"/>
    <col min="3" max="3" width="45.7109375" style="104" customWidth="1"/>
    <col min="4" max="4" width="21" style="104" customWidth="1"/>
    <col min="5" max="16384" width="9.140625" style="104"/>
  </cols>
  <sheetData>
    <row r="1" spans="1:4" s="199" customFormat="1" ht="51" customHeight="1">
      <c r="A1" s="231" t="str">
        <f>'N2-8'!A1:F1</f>
        <v>yazbegis, aragvis, fSav-xevsureTisa da TuSeTis dacul teritoriebze arsebuli 7 qoxis saxarjTaRricxvo dokumentacia.</v>
      </c>
      <c r="B1" s="198"/>
      <c r="C1" s="198"/>
      <c r="D1" s="198"/>
    </row>
    <row r="2" spans="1:4" s="201" customFormat="1" ht="24" customHeight="1">
      <c r="A2" s="200" t="s">
        <v>495</v>
      </c>
      <c r="B2" s="200"/>
      <c r="C2" s="200"/>
      <c r="D2" s="200"/>
    </row>
    <row r="3" spans="1:4" s="201" customFormat="1" ht="23.25" customHeight="1" thickBot="1">
      <c r="A3" s="202" t="s">
        <v>944</v>
      </c>
      <c r="B3" s="202"/>
      <c r="C3" s="202"/>
      <c r="D3" s="202"/>
    </row>
    <row r="4" spans="1:4" s="201" customFormat="1" ht="108" customHeight="1" thickBot="1">
      <c r="A4" s="203" t="s">
        <v>506</v>
      </c>
      <c r="B4" s="204" t="s">
        <v>392</v>
      </c>
      <c r="C4" s="205" t="s">
        <v>507</v>
      </c>
      <c r="D4" s="205" t="s">
        <v>508</v>
      </c>
    </row>
    <row r="5" spans="1:4" s="201" customFormat="1" ht="20.25" customHeight="1" thickBot="1">
      <c r="A5" s="206">
        <v>1</v>
      </c>
      <c r="B5" s="207">
        <v>2</v>
      </c>
      <c r="C5" s="206">
        <v>3</v>
      </c>
      <c r="D5" s="206">
        <v>4</v>
      </c>
    </row>
    <row r="6" spans="1:4" s="201" customFormat="1" ht="22.5" customHeight="1">
      <c r="A6" s="208">
        <v>1</v>
      </c>
      <c r="B6" s="209" t="s">
        <v>63</v>
      </c>
      <c r="C6" s="210" t="s">
        <v>509</v>
      </c>
      <c r="D6" s="425">
        <f>'N3-1'!F74</f>
        <v>0</v>
      </c>
    </row>
    <row r="7" spans="1:4" s="216" customFormat="1" ht="39.75" customHeight="1">
      <c r="A7" s="212" t="s">
        <v>7</v>
      </c>
      <c r="B7" s="424" t="s">
        <v>64</v>
      </c>
      <c r="C7" s="214" t="s">
        <v>510</v>
      </c>
      <c r="D7" s="215">
        <f>'N3-2'!F18</f>
        <v>0</v>
      </c>
    </row>
    <row r="8" spans="1:4" s="201" customFormat="1" ht="22.5" customHeight="1">
      <c r="A8" s="217">
        <v>3</v>
      </c>
      <c r="B8" s="424" t="s">
        <v>65</v>
      </c>
      <c r="C8" s="218" t="s">
        <v>511</v>
      </c>
      <c r="D8" s="215">
        <f>'N3-3'!F16</f>
        <v>0</v>
      </c>
    </row>
    <row r="9" spans="1:4" s="201" customFormat="1" ht="22.5" customHeight="1">
      <c r="A9" s="212" t="s">
        <v>488</v>
      </c>
      <c r="B9" s="424" t="s">
        <v>66</v>
      </c>
      <c r="C9" s="218" t="s">
        <v>512</v>
      </c>
      <c r="D9" s="215">
        <f>'N3-4'!F25</f>
        <v>0</v>
      </c>
    </row>
    <row r="10" spans="1:4" s="201" customFormat="1" ht="22.5" customHeight="1">
      <c r="A10" s="212" t="s">
        <v>513</v>
      </c>
      <c r="B10" s="424" t="s">
        <v>67</v>
      </c>
      <c r="C10" s="218" t="s">
        <v>514</v>
      </c>
      <c r="D10" s="215">
        <f>'N3-5'!F113</f>
        <v>0</v>
      </c>
    </row>
    <row r="11" spans="1:4" s="201" customFormat="1" ht="22.5" customHeight="1">
      <c r="A11" s="212" t="s">
        <v>515</v>
      </c>
      <c r="B11" s="424" t="s">
        <v>68</v>
      </c>
      <c r="C11" s="218" t="s">
        <v>516</v>
      </c>
      <c r="D11" s="215">
        <f>'N3-6'!F27</f>
        <v>0</v>
      </c>
    </row>
    <row r="12" spans="1:4" s="201" customFormat="1" ht="39" customHeight="1">
      <c r="A12" s="217">
        <v>7</v>
      </c>
      <c r="B12" s="424" t="s">
        <v>69</v>
      </c>
      <c r="C12" s="219" t="s">
        <v>517</v>
      </c>
      <c r="D12" s="215">
        <f>'N3-7'!F21</f>
        <v>0</v>
      </c>
    </row>
    <row r="13" spans="1:4" s="201" customFormat="1" ht="33.75" customHeight="1">
      <c r="A13" s="217">
        <v>8</v>
      </c>
      <c r="B13" s="424" t="s">
        <v>70</v>
      </c>
      <c r="C13" s="219" t="s">
        <v>518</v>
      </c>
      <c r="D13" s="215">
        <f>'N3-8'!F19</f>
        <v>0</v>
      </c>
    </row>
    <row r="14" spans="1:4" s="201" customFormat="1" ht="22.5" customHeight="1" thickBot="1">
      <c r="A14" s="220" t="s">
        <v>675</v>
      </c>
      <c r="B14" s="221"/>
      <c r="C14" s="222" t="s">
        <v>519</v>
      </c>
      <c r="D14" s="223">
        <f>SUM(D6:D13)</f>
        <v>0</v>
      </c>
    </row>
    <row r="15" spans="1:4" s="225" customFormat="1" ht="13.5">
      <c r="A15" s="224"/>
    </row>
    <row r="16" spans="1:4" s="226" customFormat="1"/>
    <row r="17" spans="1:115" s="229" customFormat="1" ht="15">
      <c r="A17" s="228"/>
      <c r="B17" s="228"/>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30"/>
      <c r="AP17" s="230"/>
      <c r="AQ17" s="230"/>
      <c r="AR17" s="230"/>
      <c r="AS17" s="230"/>
      <c r="AT17" s="230"/>
      <c r="AU17" s="230"/>
      <c r="AV17" s="230"/>
      <c r="AW17" s="230"/>
      <c r="AX17" s="230"/>
      <c r="AY17" s="230"/>
      <c r="AZ17" s="230"/>
      <c r="BA17" s="230"/>
      <c r="BB17" s="230"/>
      <c r="BC17" s="230"/>
      <c r="BD17" s="230"/>
      <c r="BE17" s="230"/>
      <c r="BF17" s="230"/>
      <c r="BG17" s="230"/>
      <c r="BH17" s="230"/>
      <c r="BI17" s="230"/>
      <c r="BJ17" s="230"/>
      <c r="BK17" s="230"/>
      <c r="BL17" s="230"/>
      <c r="BM17" s="230"/>
      <c r="BN17" s="230"/>
      <c r="BO17" s="230"/>
      <c r="BP17" s="230"/>
      <c r="BQ17" s="230"/>
      <c r="BR17" s="230"/>
      <c r="BS17" s="230"/>
      <c r="BT17" s="230"/>
      <c r="BU17" s="230"/>
      <c r="BV17" s="230"/>
      <c r="BW17" s="230"/>
      <c r="BX17" s="230"/>
      <c r="BY17" s="230"/>
      <c r="BZ17" s="230"/>
      <c r="CA17" s="230"/>
      <c r="CB17" s="230"/>
      <c r="CC17" s="230"/>
      <c r="CD17" s="230"/>
      <c r="CE17" s="230"/>
      <c r="CF17" s="230"/>
      <c r="CG17" s="230"/>
      <c r="CH17" s="230"/>
      <c r="CI17" s="230"/>
      <c r="CJ17" s="230"/>
      <c r="CK17" s="230"/>
      <c r="CL17" s="230"/>
      <c r="CM17" s="230"/>
      <c r="CN17" s="230"/>
      <c r="CO17" s="230"/>
      <c r="CP17" s="230"/>
      <c r="CQ17" s="230"/>
      <c r="CR17" s="230"/>
      <c r="CS17" s="230"/>
      <c r="CT17" s="230"/>
      <c r="CU17" s="230"/>
      <c r="CV17" s="230"/>
      <c r="CW17" s="230"/>
      <c r="CX17" s="230"/>
      <c r="CY17" s="230"/>
      <c r="CZ17" s="230"/>
      <c r="DA17" s="230"/>
      <c r="DB17" s="230"/>
      <c r="DC17" s="230"/>
      <c r="DD17" s="230"/>
      <c r="DE17" s="230"/>
      <c r="DF17" s="230"/>
      <c r="DG17" s="230"/>
      <c r="DH17" s="230"/>
      <c r="DI17" s="230"/>
      <c r="DJ17" s="230"/>
      <c r="DK17" s="230"/>
    </row>
  </sheetData>
  <mergeCells count="3">
    <mergeCell ref="A1:D1"/>
    <mergeCell ref="A2:D2"/>
    <mergeCell ref="A3:D3"/>
  </mergeCells>
  <pageMargins left="0.7" right="0.7" top="0.75" bottom="0.75" header="0.3" footer="0.3"/>
  <pageSetup paperSize="9"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74"/>
  <sheetViews>
    <sheetView topLeftCell="A48" zoomScaleNormal="100" workbookViewId="0">
      <selection activeCell="B8" sqref="B8"/>
    </sheetView>
  </sheetViews>
  <sheetFormatPr defaultRowHeight="12.75"/>
  <cols>
    <col min="1" max="1" width="4.85546875" style="104" customWidth="1"/>
    <col min="2" max="2" width="55.28515625" style="104" customWidth="1"/>
    <col min="3" max="3" width="9.28515625" style="104" customWidth="1"/>
    <col min="4" max="4" width="7.42578125" style="104" customWidth="1"/>
    <col min="5" max="5" width="8.5703125" style="104" customWidth="1"/>
    <col min="6" max="6" width="10.7109375" style="104" customWidth="1"/>
    <col min="7" max="16384" width="9.140625" style="104"/>
  </cols>
  <sheetData>
    <row r="1" spans="1:7" s="199" customFormat="1" ht="32.25" customHeight="1">
      <c r="A1" s="231" t="str">
        <f>ob.N3!A1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945</v>
      </c>
      <c r="B3" s="330"/>
      <c r="C3" s="330"/>
      <c r="D3" s="330"/>
      <c r="E3" s="330"/>
      <c r="F3" s="330"/>
    </row>
    <row r="4" spans="1:7" s="335" customFormat="1" ht="20.25" customHeight="1">
      <c r="A4" s="377" t="s">
        <v>946</v>
      </c>
      <c r="B4" s="377"/>
      <c r="C4" s="377"/>
      <c r="D4" s="377"/>
      <c r="E4" s="377"/>
      <c r="F4" s="377"/>
      <c r="G4" s="378"/>
    </row>
    <row r="5" spans="1:7" s="199" customFormat="1" ht="19.5" customHeight="1" thickBot="1">
      <c r="A5" s="379" t="s">
        <v>522</v>
      </c>
      <c r="B5" s="379"/>
      <c r="C5" s="379"/>
      <c r="D5" s="379"/>
      <c r="E5" s="379"/>
      <c r="F5" s="379"/>
      <c r="G5" s="380"/>
    </row>
    <row r="6" spans="1:7" s="502" customFormat="1" ht="41.25" customHeight="1">
      <c r="A6" s="496" t="s">
        <v>392</v>
      </c>
      <c r="B6" s="497" t="s">
        <v>947</v>
      </c>
      <c r="C6" s="498" t="s">
        <v>410</v>
      </c>
      <c r="D6" s="339" t="s">
        <v>411</v>
      </c>
      <c r="E6" s="499" t="s">
        <v>526</v>
      </c>
      <c r="F6" s="500" t="s">
        <v>653</v>
      </c>
      <c r="G6" s="501"/>
    </row>
    <row r="7" spans="1:7" s="508" customFormat="1" ht="36.75" customHeight="1" thickBot="1">
      <c r="A7" s="503"/>
      <c r="B7" s="504"/>
      <c r="C7" s="505"/>
      <c r="D7" s="347"/>
      <c r="E7" s="506"/>
      <c r="F7" s="507"/>
    </row>
    <row r="8" spans="1:7" s="508" customFormat="1" ht="14.25" customHeight="1">
      <c r="A8" s="509">
        <v>1</v>
      </c>
      <c r="B8" s="510">
        <v>3</v>
      </c>
      <c r="C8" s="511">
        <v>4</v>
      </c>
      <c r="D8" s="438">
        <v>4</v>
      </c>
      <c r="E8" s="512">
        <v>5</v>
      </c>
      <c r="F8" s="513">
        <v>6</v>
      </c>
    </row>
    <row r="9" spans="1:7" ht="16.5">
      <c r="A9" s="441"/>
      <c r="B9" s="442" t="s">
        <v>948</v>
      </c>
      <c r="C9" s="441"/>
      <c r="D9" s="253"/>
      <c r="E9" s="253"/>
      <c r="F9" s="514"/>
    </row>
    <row r="10" spans="1:7" ht="47.25">
      <c r="A10" s="366">
        <v>1</v>
      </c>
      <c r="B10" s="358" t="s">
        <v>949</v>
      </c>
      <c r="C10" s="366" t="s">
        <v>537</v>
      </c>
      <c r="D10" s="449">
        <v>5.7910000000000004</v>
      </c>
      <c r="E10" s="515"/>
      <c r="F10" s="360"/>
    </row>
    <row r="11" spans="1:7" ht="31.5">
      <c r="A11" s="366">
        <v>2</v>
      </c>
      <c r="B11" s="358" t="s">
        <v>950</v>
      </c>
      <c r="C11" s="366" t="s">
        <v>537</v>
      </c>
      <c r="D11" s="516">
        <f>0.00864*120+4.62</f>
        <v>5.6568000000000005</v>
      </c>
      <c r="E11" s="515"/>
      <c r="F11" s="360"/>
    </row>
    <row r="12" spans="1:7" ht="31.5">
      <c r="A12" s="445">
        <v>3</v>
      </c>
      <c r="B12" s="358" t="s">
        <v>951</v>
      </c>
      <c r="C12" s="366" t="s">
        <v>537</v>
      </c>
      <c r="D12" s="450">
        <v>0.78525999999999996</v>
      </c>
      <c r="E12" s="515"/>
      <c r="F12" s="360"/>
    </row>
    <row r="13" spans="1:7" ht="31.5">
      <c r="A13" s="359">
        <v>4</v>
      </c>
      <c r="B13" s="358" t="s">
        <v>569</v>
      </c>
      <c r="C13" s="359" t="s">
        <v>537</v>
      </c>
      <c r="D13" s="517">
        <f>D11+D12</f>
        <v>6.4420600000000006</v>
      </c>
      <c r="E13" s="463"/>
      <c r="F13" s="360"/>
    </row>
    <row r="14" spans="1:7" ht="24" customHeight="1">
      <c r="A14" s="359">
        <v>5</v>
      </c>
      <c r="B14" s="358" t="s">
        <v>570</v>
      </c>
      <c r="C14" s="359" t="s">
        <v>554</v>
      </c>
      <c r="D14" s="263">
        <v>195</v>
      </c>
      <c r="E14" s="463"/>
      <c r="F14" s="360"/>
    </row>
    <row r="15" spans="1:7" ht="31.5">
      <c r="A15" s="362">
        <v>6</v>
      </c>
      <c r="B15" s="358" t="s">
        <v>571</v>
      </c>
      <c r="C15" s="359" t="s">
        <v>537</v>
      </c>
      <c r="D15" s="517">
        <f>D13</f>
        <v>6.4420600000000006</v>
      </c>
      <c r="E15" s="463"/>
      <c r="F15" s="360"/>
    </row>
    <row r="16" spans="1:7" ht="31.5">
      <c r="A16" s="366">
        <v>7</v>
      </c>
      <c r="B16" s="358" t="s">
        <v>952</v>
      </c>
      <c r="C16" s="366" t="s">
        <v>530</v>
      </c>
      <c r="D16" s="259">
        <f>6.4</f>
        <v>6.4</v>
      </c>
      <c r="E16" s="266"/>
      <c r="F16" s="360"/>
    </row>
    <row r="17" spans="1:6" ht="31.5">
      <c r="A17" s="366">
        <v>8</v>
      </c>
      <c r="B17" s="358" t="s">
        <v>953</v>
      </c>
      <c r="C17" s="366" t="s">
        <v>530</v>
      </c>
      <c r="D17" s="278">
        <f>5.52+1.38+4.8</f>
        <v>11.7</v>
      </c>
      <c r="E17" s="266"/>
      <c r="F17" s="360"/>
    </row>
    <row r="18" spans="1:6" ht="31.5">
      <c r="A18" s="366">
        <v>9</v>
      </c>
      <c r="B18" s="358" t="s">
        <v>954</v>
      </c>
      <c r="C18" s="366" t="s">
        <v>530</v>
      </c>
      <c r="D18" s="278">
        <v>15.4</v>
      </c>
      <c r="E18" s="266"/>
      <c r="F18" s="360"/>
    </row>
    <row r="19" spans="1:6" ht="31.5">
      <c r="A19" s="400">
        <v>10</v>
      </c>
      <c r="B19" s="358" t="s">
        <v>955</v>
      </c>
      <c r="C19" s="366" t="s">
        <v>537</v>
      </c>
      <c r="D19" s="366">
        <v>0.16639999999999999</v>
      </c>
      <c r="E19" s="515"/>
      <c r="F19" s="360"/>
    </row>
    <row r="20" spans="1:6" ht="31.5">
      <c r="A20" s="366">
        <v>11</v>
      </c>
      <c r="B20" s="358" t="s">
        <v>956</v>
      </c>
      <c r="C20" s="366" t="s">
        <v>530</v>
      </c>
      <c r="D20" s="278">
        <v>11.8</v>
      </c>
      <c r="E20" s="266"/>
      <c r="F20" s="360"/>
    </row>
    <row r="21" spans="1:6" ht="15.75">
      <c r="A21" s="281">
        <v>12</v>
      </c>
      <c r="B21" s="452" t="s">
        <v>575</v>
      </c>
      <c r="C21" s="281" t="s">
        <v>530</v>
      </c>
      <c r="D21" s="268">
        <f>D18+D20</f>
        <v>27.200000000000003</v>
      </c>
      <c r="E21" s="518"/>
      <c r="F21" s="360"/>
    </row>
    <row r="22" spans="1:6" ht="30.75">
      <c r="A22" s="400">
        <v>13</v>
      </c>
      <c r="B22" s="358" t="s">
        <v>957</v>
      </c>
      <c r="C22" s="366" t="s">
        <v>537</v>
      </c>
      <c r="D22" s="366">
        <v>5.2108100000000004</v>
      </c>
      <c r="E22" s="515"/>
      <c r="F22" s="360"/>
    </row>
    <row r="23" spans="1:6" ht="15.75">
      <c r="A23" s="281" t="s">
        <v>958</v>
      </c>
      <c r="B23" s="280" t="s">
        <v>578</v>
      </c>
      <c r="C23" s="281" t="s">
        <v>474</v>
      </c>
      <c r="D23" s="268">
        <v>510</v>
      </c>
      <c r="E23" s="519"/>
      <c r="F23" s="360"/>
    </row>
    <row r="24" spans="1:6" ht="15.75">
      <c r="A24" s="281" t="s">
        <v>959</v>
      </c>
      <c r="B24" s="280" t="s">
        <v>580</v>
      </c>
      <c r="C24" s="281" t="s">
        <v>474</v>
      </c>
      <c r="D24" s="268">
        <v>480</v>
      </c>
      <c r="E24" s="519"/>
      <c r="F24" s="360"/>
    </row>
    <row r="25" spans="1:6" ht="16.5">
      <c r="A25" s="441"/>
      <c r="B25" s="442" t="s">
        <v>581</v>
      </c>
      <c r="C25" s="441"/>
      <c r="D25" s="253"/>
      <c r="E25" s="253"/>
      <c r="F25" s="360"/>
    </row>
    <row r="26" spans="1:6" ht="31.5">
      <c r="A26" s="400">
        <v>1</v>
      </c>
      <c r="B26" s="358" t="s">
        <v>582</v>
      </c>
      <c r="C26" s="366" t="s">
        <v>530</v>
      </c>
      <c r="D26" s="259">
        <v>3.02</v>
      </c>
      <c r="E26" s="266"/>
      <c r="F26" s="360"/>
    </row>
    <row r="27" spans="1:6" ht="47.25">
      <c r="A27" s="362">
        <v>2</v>
      </c>
      <c r="B27" s="358" t="s">
        <v>583</v>
      </c>
      <c r="C27" s="359" t="s">
        <v>554</v>
      </c>
      <c r="D27" s="283">
        <v>153.65</v>
      </c>
      <c r="E27" s="463"/>
      <c r="F27" s="360"/>
    </row>
    <row r="28" spans="1:6" ht="31.5">
      <c r="A28" s="362"/>
      <c r="B28" s="358" t="s">
        <v>584</v>
      </c>
      <c r="C28" s="362" t="s">
        <v>530</v>
      </c>
      <c r="D28" s="363">
        <f>D27*0.025</f>
        <v>3.8412500000000005</v>
      </c>
      <c r="E28" s="463"/>
      <c r="F28" s="360"/>
    </row>
    <row r="29" spans="1:6" ht="15.75">
      <c r="A29" s="400">
        <v>3</v>
      </c>
      <c r="B29" s="358" t="s">
        <v>585</v>
      </c>
      <c r="C29" s="366" t="s">
        <v>586</v>
      </c>
      <c r="D29" s="259">
        <f>D27</f>
        <v>153.65</v>
      </c>
      <c r="E29" s="515"/>
      <c r="F29" s="360"/>
    </row>
    <row r="30" spans="1:6" ht="31.5">
      <c r="A30" s="400">
        <v>4</v>
      </c>
      <c r="B30" s="358" t="s">
        <v>870</v>
      </c>
      <c r="C30" s="366" t="s">
        <v>554</v>
      </c>
      <c r="D30" s="259">
        <v>145.6</v>
      </c>
      <c r="E30" s="515"/>
      <c r="F30" s="360"/>
    </row>
    <row r="31" spans="1:6" ht="15.75">
      <c r="A31" s="400">
        <v>5</v>
      </c>
      <c r="B31" s="358" t="s">
        <v>588</v>
      </c>
      <c r="C31" s="366" t="s">
        <v>586</v>
      </c>
      <c r="D31" s="259">
        <v>145.6</v>
      </c>
      <c r="E31" s="515"/>
      <c r="F31" s="360"/>
    </row>
    <row r="32" spans="1:6" ht="47.25">
      <c r="A32" s="362">
        <v>6</v>
      </c>
      <c r="B32" s="358" t="s">
        <v>871</v>
      </c>
      <c r="C32" s="359" t="s">
        <v>554</v>
      </c>
      <c r="D32" s="263">
        <v>137.55000000000001</v>
      </c>
      <c r="E32" s="463"/>
      <c r="F32" s="360"/>
    </row>
    <row r="33" spans="1:6" ht="31.5">
      <c r="A33" s="362">
        <v>7</v>
      </c>
      <c r="B33" s="358" t="s">
        <v>590</v>
      </c>
      <c r="C33" s="359" t="s">
        <v>554</v>
      </c>
      <c r="D33" s="263">
        <v>8.0500000000000007</v>
      </c>
      <c r="E33" s="463"/>
      <c r="F33" s="360"/>
    </row>
    <row r="34" spans="1:6" ht="16.5">
      <c r="A34" s="441"/>
      <c r="B34" s="442" t="s">
        <v>593</v>
      </c>
      <c r="C34" s="441"/>
      <c r="D34" s="253"/>
      <c r="E34" s="253"/>
      <c r="F34" s="360"/>
    </row>
    <row r="35" spans="1:6" ht="31.5">
      <c r="A35" s="400">
        <v>1</v>
      </c>
      <c r="B35" s="358" t="s">
        <v>872</v>
      </c>
      <c r="C35" s="366" t="s">
        <v>586</v>
      </c>
      <c r="D35" s="278">
        <f>D36*2+D39*2</f>
        <v>398.9</v>
      </c>
      <c r="E35" s="515"/>
      <c r="F35" s="360"/>
    </row>
    <row r="36" spans="1:6" ht="47.25">
      <c r="A36" s="400">
        <v>2</v>
      </c>
      <c r="B36" s="358" t="s">
        <v>960</v>
      </c>
      <c r="C36" s="366" t="s">
        <v>554</v>
      </c>
      <c r="D36" s="259">
        <v>182.85</v>
      </c>
      <c r="E36" s="515"/>
      <c r="F36" s="360"/>
    </row>
    <row r="37" spans="1:6" ht="47.25">
      <c r="A37" s="359"/>
      <c r="B37" s="358" t="s">
        <v>598</v>
      </c>
      <c r="C37" s="359" t="s">
        <v>530</v>
      </c>
      <c r="D37" s="363">
        <f>D36*0.008</f>
        <v>1.4627999999999999</v>
      </c>
      <c r="E37" s="463"/>
      <c r="F37" s="360"/>
    </row>
    <row r="38" spans="1:6" ht="47.25">
      <c r="A38" s="400">
        <v>3</v>
      </c>
      <c r="B38" s="358" t="s">
        <v>961</v>
      </c>
      <c r="C38" s="366" t="s">
        <v>554</v>
      </c>
      <c r="D38" s="278">
        <v>8.3000000000000007</v>
      </c>
      <c r="E38" s="515"/>
      <c r="F38" s="360"/>
    </row>
    <row r="39" spans="1:6" ht="47.25">
      <c r="A39" s="400">
        <v>4</v>
      </c>
      <c r="B39" s="358" t="s">
        <v>601</v>
      </c>
      <c r="C39" s="366" t="s">
        <v>554</v>
      </c>
      <c r="D39" s="259">
        <v>16.600000000000001</v>
      </c>
      <c r="E39" s="515"/>
      <c r="F39" s="360"/>
    </row>
    <row r="40" spans="1:6" ht="47.25">
      <c r="A40" s="359"/>
      <c r="B40" s="358" t="s">
        <v>598</v>
      </c>
      <c r="C40" s="359" t="s">
        <v>530</v>
      </c>
      <c r="D40" s="363">
        <f>16.6*0.008</f>
        <v>0.1328</v>
      </c>
      <c r="E40" s="463"/>
      <c r="F40" s="360"/>
    </row>
    <row r="41" spans="1:6" ht="47.25">
      <c r="A41" s="359">
        <v>5</v>
      </c>
      <c r="B41" s="358" t="s">
        <v>603</v>
      </c>
      <c r="C41" s="359" t="s">
        <v>554</v>
      </c>
      <c r="D41" s="263">
        <f>D39</f>
        <v>16.600000000000001</v>
      </c>
      <c r="E41" s="463"/>
      <c r="F41" s="360"/>
    </row>
    <row r="42" spans="1:6" ht="15.75">
      <c r="A42" s="454"/>
      <c r="B42" s="455" t="s">
        <v>604</v>
      </c>
      <c r="C42" s="454"/>
      <c r="D42" s="456"/>
      <c r="E42" s="292"/>
      <c r="F42" s="360"/>
    </row>
    <row r="43" spans="1:6" ht="15.75">
      <c r="A43" s="362">
        <v>1</v>
      </c>
      <c r="B43" s="358" t="s">
        <v>962</v>
      </c>
      <c r="C43" s="359" t="s">
        <v>554</v>
      </c>
      <c r="D43" s="263">
        <f>13.8+6.65</f>
        <v>20.450000000000003</v>
      </c>
      <c r="E43" s="463"/>
      <c r="F43" s="360"/>
    </row>
    <row r="44" spans="1:6" ht="31.5">
      <c r="A44" s="362">
        <v>2</v>
      </c>
      <c r="B44" s="358" t="s">
        <v>605</v>
      </c>
      <c r="C44" s="359" t="s">
        <v>554</v>
      </c>
      <c r="D44" s="283">
        <f>6.48+4.32</f>
        <v>10.8</v>
      </c>
      <c r="E44" s="463"/>
      <c r="F44" s="360"/>
    </row>
    <row r="45" spans="1:6" ht="47.25">
      <c r="A45" s="359">
        <v>3</v>
      </c>
      <c r="B45" s="358" t="s">
        <v>963</v>
      </c>
      <c r="C45" s="359" t="s">
        <v>554</v>
      </c>
      <c r="D45" s="263">
        <v>11.65</v>
      </c>
      <c r="E45" s="463"/>
      <c r="F45" s="360"/>
    </row>
    <row r="46" spans="1:6" ht="47.25">
      <c r="A46" s="359">
        <v>4</v>
      </c>
      <c r="B46" s="358" t="s">
        <v>876</v>
      </c>
      <c r="C46" s="359" t="s">
        <v>554</v>
      </c>
      <c r="D46" s="283">
        <v>5.72</v>
      </c>
      <c r="E46" s="463"/>
      <c r="F46" s="360"/>
    </row>
    <row r="47" spans="1:6" ht="47.25">
      <c r="A47" s="359">
        <v>5</v>
      </c>
      <c r="B47" s="358" t="s">
        <v>877</v>
      </c>
      <c r="C47" s="359" t="s">
        <v>554</v>
      </c>
      <c r="D47" s="283">
        <f>15.18+3.96</f>
        <v>19.14</v>
      </c>
      <c r="E47" s="463"/>
      <c r="F47" s="360"/>
    </row>
    <row r="48" spans="1:6" ht="31.5">
      <c r="A48" s="359">
        <v>6</v>
      </c>
      <c r="B48" s="358" t="s">
        <v>964</v>
      </c>
      <c r="C48" s="359" t="s">
        <v>554</v>
      </c>
      <c r="D48" s="263">
        <v>36.799999999999997</v>
      </c>
      <c r="E48" s="263"/>
      <c r="F48" s="360"/>
    </row>
    <row r="49" spans="1:6" ht="15.75">
      <c r="A49" s="520">
        <v>7</v>
      </c>
      <c r="B49" s="521" t="s">
        <v>965</v>
      </c>
      <c r="C49" s="461" t="s">
        <v>554</v>
      </c>
      <c r="D49" s="298">
        <v>1.98</v>
      </c>
      <c r="E49" s="522"/>
      <c r="F49" s="360"/>
    </row>
    <row r="50" spans="1:6" ht="31.5">
      <c r="A50" s="400">
        <v>8</v>
      </c>
      <c r="B50" s="458" t="s">
        <v>966</v>
      </c>
      <c r="C50" s="366" t="s">
        <v>554</v>
      </c>
      <c r="D50" s="259">
        <f>D49*2</f>
        <v>3.96</v>
      </c>
      <c r="E50" s="515"/>
      <c r="F50" s="360"/>
    </row>
    <row r="51" spans="1:6" ht="15.75">
      <c r="A51" s="523">
        <v>9</v>
      </c>
      <c r="B51" s="460" t="s">
        <v>967</v>
      </c>
      <c r="C51" s="524" t="s">
        <v>554</v>
      </c>
      <c r="D51" s="303">
        <f>D49*2</f>
        <v>3.96</v>
      </c>
      <c r="E51" s="525"/>
      <c r="F51" s="360"/>
    </row>
    <row r="52" spans="1:6" ht="15.75">
      <c r="A52" s="454"/>
      <c r="B52" s="442" t="s">
        <v>613</v>
      </c>
      <c r="C52" s="454"/>
      <c r="D52" s="457"/>
      <c r="E52" s="292"/>
      <c r="F52" s="360"/>
    </row>
    <row r="53" spans="1:6" ht="15.75">
      <c r="A53" s="400">
        <v>1</v>
      </c>
      <c r="B53" s="458" t="s">
        <v>614</v>
      </c>
      <c r="C53" s="400" t="s">
        <v>554</v>
      </c>
      <c r="D53" s="278">
        <v>254.2</v>
      </c>
      <c r="E53" s="526">
        <v>9.1465846533678228</v>
      </c>
      <c r="F53" s="360"/>
    </row>
    <row r="54" spans="1:6" ht="15.75">
      <c r="A54" s="366">
        <v>2</v>
      </c>
      <c r="B54" s="358" t="s">
        <v>615</v>
      </c>
      <c r="C54" s="366" t="s">
        <v>530</v>
      </c>
      <c r="D54" s="259">
        <v>14.9</v>
      </c>
      <c r="E54" s="515">
        <v>316.97618317746168</v>
      </c>
      <c r="F54" s="360"/>
    </row>
    <row r="55" spans="1:6" ht="15.75">
      <c r="A55" s="362">
        <v>3</v>
      </c>
      <c r="B55" s="358" t="s">
        <v>616</v>
      </c>
      <c r="C55" s="359" t="s">
        <v>554</v>
      </c>
      <c r="D55" s="283">
        <v>183.9</v>
      </c>
      <c r="E55" s="463">
        <v>47.911869373852113</v>
      </c>
      <c r="F55" s="360"/>
    </row>
    <row r="56" spans="1:6" ht="31.5">
      <c r="A56" s="459">
        <v>4</v>
      </c>
      <c r="B56" s="460" t="s">
        <v>617</v>
      </c>
      <c r="C56" s="459" t="s">
        <v>554</v>
      </c>
      <c r="D56" s="287">
        <v>7.02</v>
      </c>
      <c r="E56" s="527">
        <v>43.789666591191363</v>
      </c>
      <c r="F56" s="360"/>
    </row>
    <row r="57" spans="1:6" ht="47.25">
      <c r="A57" s="362">
        <v>5</v>
      </c>
      <c r="B57" s="458" t="s">
        <v>618</v>
      </c>
      <c r="C57" s="359" t="s">
        <v>554</v>
      </c>
      <c r="D57" s="263">
        <v>159</v>
      </c>
      <c r="E57" s="463">
        <v>123.58178569944977</v>
      </c>
      <c r="F57" s="360"/>
    </row>
    <row r="58" spans="1:6" ht="15.75">
      <c r="A58" s="454"/>
      <c r="B58" s="442" t="s">
        <v>620</v>
      </c>
      <c r="C58" s="454"/>
      <c r="D58" s="457"/>
      <c r="E58" s="292"/>
      <c r="F58" s="360"/>
    </row>
    <row r="59" spans="1:6" ht="15.75">
      <c r="A59" s="400">
        <v>1</v>
      </c>
      <c r="B59" s="358" t="s">
        <v>621</v>
      </c>
      <c r="C59" s="366" t="s">
        <v>554</v>
      </c>
      <c r="D59" s="278">
        <v>393.3</v>
      </c>
      <c r="E59" s="515"/>
      <c r="F59" s="360"/>
    </row>
    <row r="60" spans="1:6" ht="15.75">
      <c r="A60" s="366">
        <v>2</v>
      </c>
      <c r="B60" s="358" t="s">
        <v>968</v>
      </c>
      <c r="C60" s="366" t="s">
        <v>554</v>
      </c>
      <c r="D60" s="259">
        <v>213.9</v>
      </c>
      <c r="E60" s="515"/>
      <c r="F60" s="360"/>
    </row>
    <row r="61" spans="1:6" ht="15.75">
      <c r="A61" s="400">
        <v>3</v>
      </c>
      <c r="B61" s="358" t="s">
        <v>585</v>
      </c>
      <c r="C61" s="366" t="s">
        <v>554</v>
      </c>
      <c r="D61" s="278">
        <v>261.10000000000002</v>
      </c>
      <c r="E61" s="515"/>
      <c r="F61" s="360"/>
    </row>
    <row r="62" spans="1:6" ht="15.75">
      <c r="A62" s="400">
        <v>4</v>
      </c>
      <c r="B62" s="458" t="s">
        <v>969</v>
      </c>
      <c r="C62" s="528" t="s">
        <v>970</v>
      </c>
      <c r="D62" s="278">
        <v>261.10000000000002</v>
      </c>
      <c r="E62" s="526"/>
      <c r="F62" s="360"/>
    </row>
    <row r="63" spans="1:6" ht="15.75">
      <c r="A63" s="400">
        <v>5</v>
      </c>
      <c r="B63" s="358" t="s">
        <v>623</v>
      </c>
      <c r="C63" s="366" t="s">
        <v>554</v>
      </c>
      <c r="D63" s="278">
        <v>261.10000000000002</v>
      </c>
      <c r="E63" s="515"/>
      <c r="F63" s="360"/>
    </row>
    <row r="64" spans="1:6" ht="15.75">
      <c r="A64" s="400">
        <v>6</v>
      </c>
      <c r="B64" s="358" t="s">
        <v>628</v>
      </c>
      <c r="C64" s="366" t="s">
        <v>554</v>
      </c>
      <c r="D64" s="259">
        <v>261.10000000000002</v>
      </c>
      <c r="E64" s="515"/>
      <c r="F64" s="360"/>
    </row>
    <row r="65" spans="1:6" ht="15.75">
      <c r="A65" s="454"/>
      <c r="B65" s="442" t="s">
        <v>629</v>
      </c>
      <c r="C65" s="454"/>
      <c r="D65" s="457"/>
      <c r="E65" s="292"/>
      <c r="F65" s="360"/>
    </row>
    <row r="66" spans="1:6" ht="31.5">
      <c r="A66" s="362">
        <v>1</v>
      </c>
      <c r="B66" s="458" t="s">
        <v>632</v>
      </c>
      <c r="C66" s="362" t="s">
        <v>554</v>
      </c>
      <c r="D66" s="283">
        <v>49.3</v>
      </c>
      <c r="E66" s="283"/>
      <c r="F66" s="360"/>
    </row>
    <row r="67" spans="1:6" ht="31.5">
      <c r="A67" s="400">
        <v>2</v>
      </c>
      <c r="B67" s="358" t="s">
        <v>634</v>
      </c>
      <c r="C67" s="366" t="s">
        <v>554</v>
      </c>
      <c r="D67" s="259">
        <v>171</v>
      </c>
      <c r="E67" s="515"/>
      <c r="F67" s="360"/>
    </row>
    <row r="68" spans="1:6" ht="31.5">
      <c r="A68" s="459">
        <v>3</v>
      </c>
      <c r="B68" s="460" t="s">
        <v>635</v>
      </c>
      <c r="C68" s="459" t="s">
        <v>586</v>
      </c>
      <c r="D68" s="287">
        <v>7.85</v>
      </c>
      <c r="E68" s="527"/>
      <c r="F68" s="360"/>
    </row>
    <row r="69" spans="1:6" ht="31.5">
      <c r="A69" s="359">
        <v>4</v>
      </c>
      <c r="B69" s="358" t="s">
        <v>636</v>
      </c>
      <c r="C69" s="359" t="s">
        <v>554</v>
      </c>
      <c r="D69" s="283">
        <f>D68</f>
        <v>7.85</v>
      </c>
      <c r="E69" s="525"/>
      <c r="F69" s="360"/>
    </row>
    <row r="70" spans="1:6" ht="31.5">
      <c r="A70" s="359">
        <v>5</v>
      </c>
      <c r="B70" s="358" t="s">
        <v>637</v>
      </c>
      <c r="C70" s="359" t="s">
        <v>554</v>
      </c>
      <c r="D70" s="263">
        <v>163.15</v>
      </c>
      <c r="E70" s="463"/>
      <c r="F70" s="360"/>
    </row>
    <row r="71" spans="1:6" ht="15.75">
      <c r="A71" s="454"/>
      <c r="B71" s="455" t="s">
        <v>638</v>
      </c>
      <c r="C71" s="454"/>
      <c r="D71" s="456"/>
      <c r="E71" s="292"/>
      <c r="F71" s="360"/>
    </row>
    <row r="72" spans="1:6" ht="47.25">
      <c r="A72" s="362">
        <v>1</v>
      </c>
      <c r="B72" s="458" t="s">
        <v>879</v>
      </c>
      <c r="C72" s="359" t="s">
        <v>554</v>
      </c>
      <c r="D72" s="263">
        <v>37.76</v>
      </c>
      <c r="E72" s="463"/>
      <c r="F72" s="360"/>
    </row>
    <row r="73" spans="1:6" ht="31.5">
      <c r="A73" s="359">
        <v>2</v>
      </c>
      <c r="B73" s="358" t="s">
        <v>880</v>
      </c>
      <c r="C73" s="359" t="s">
        <v>554</v>
      </c>
      <c r="D73" s="263">
        <v>45.11</v>
      </c>
      <c r="E73" s="463"/>
      <c r="F73" s="360"/>
    </row>
    <row r="74" spans="1:6" ht="16.5">
      <c r="A74" s="470"/>
      <c r="B74" s="471" t="s">
        <v>407</v>
      </c>
      <c r="C74" s="472"/>
      <c r="D74" s="470"/>
      <c r="E74" s="470"/>
      <c r="F74" s="372">
        <f>SUM(F10:F73)</f>
        <v>0</v>
      </c>
    </row>
  </sheetData>
  <mergeCells count="11">
    <mergeCell ref="F6:F7"/>
    <mergeCell ref="A1:F1"/>
    <mergeCell ref="A2:F2"/>
    <mergeCell ref="A3:F3"/>
    <mergeCell ref="A4:F4"/>
    <mergeCell ref="A5:F5"/>
    <mergeCell ref="A6:A7"/>
    <mergeCell ref="B6:B7"/>
    <mergeCell ref="C6:C7"/>
    <mergeCell ref="D6:D7"/>
    <mergeCell ref="E6:E7"/>
  </mergeCells>
  <pageMargins left="0.70866141732283472" right="0" top="0.74803149606299213" bottom="0.74803149606299213" header="0.31496062992125984" footer="0.31496062992125984"/>
  <pageSetup paperSize="9" scale="95" orientation="portrait" r:id="rId1"/>
  <colBreaks count="1" manualBreakCount="1">
    <brk id="6" max="1048575" man="1"/>
  </colBreak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9"/>
  <sheetViews>
    <sheetView topLeftCell="A12" zoomScaleNormal="100" workbookViewId="0">
      <selection activeCell="B8" sqref="B8"/>
    </sheetView>
  </sheetViews>
  <sheetFormatPr defaultRowHeight="12.75"/>
  <cols>
    <col min="1" max="1" width="7.5703125" style="104" customWidth="1"/>
    <col min="2" max="2" width="49.42578125" style="104" customWidth="1"/>
    <col min="3" max="4" width="6.28515625" style="104" bestFit="1" customWidth="1"/>
    <col min="5" max="5" width="9" style="104" bestFit="1" customWidth="1"/>
    <col min="6" max="6" width="8" style="104" bestFit="1" customWidth="1"/>
    <col min="7" max="16384" width="9.140625" style="104"/>
  </cols>
  <sheetData>
    <row r="1" spans="1:6" s="199" customFormat="1" ht="49.9" customHeight="1">
      <c r="A1" s="231" t="str">
        <f>'N3-1'!A1:F1</f>
        <v>yazbegis, aragvis, fSav-xevsureTisa da TuSeTis dacul teritoriebze arsebuli 7 qoxis saxarjTaRricxvo dokumentacia.</v>
      </c>
      <c r="B1" s="198"/>
      <c r="C1" s="198"/>
      <c r="D1" s="198"/>
      <c r="E1" s="198"/>
      <c r="F1" s="198"/>
    </row>
    <row r="2" spans="1:6" s="376" customFormat="1" ht="23.25" customHeight="1">
      <c r="A2" s="330" t="s">
        <v>971</v>
      </c>
      <c r="B2" s="330"/>
      <c r="C2" s="330"/>
      <c r="D2" s="330"/>
      <c r="E2" s="330"/>
      <c r="F2" s="330"/>
    </row>
    <row r="3" spans="1:6" s="480" customFormat="1" ht="17.25" customHeight="1">
      <c r="A3" s="330" t="s">
        <v>972</v>
      </c>
      <c r="B3" s="330"/>
      <c r="C3" s="330"/>
      <c r="D3" s="330"/>
      <c r="E3" s="330"/>
      <c r="F3" s="330"/>
    </row>
    <row r="4" spans="1:6" s="483" customFormat="1" ht="18" customHeight="1">
      <c r="A4" s="379" t="s">
        <v>522</v>
      </c>
      <c r="B4" s="379"/>
      <c r="C4" s="379"/>
      <c r="D4" s="379"/>
      <c r="E4" s="379"/>
      <c r="F4" s="379"/>
    </row>
    <row r="5" spans="1:6" s="376" customFormat="1" ht="13.5" customHeight="1" thickBot="1">
      <c r="A5" s="375"/>
      <c r="B5" s="375"/>
      <c r="C5" s="375"/>
      <c r="D5" s="375"/>
      <c r="E5" s="375"/>
      <c r="F5" s="375"/>
    </row>
    <row r="6" spans="1:6" ht="44.25" customHeight="1">
      <c r="A6" s="529" t="s">
        <v>973</v>
      </c>
      <c r="B6" s="530" t="s">
        <v>524</v>
      </c>
      <c r="C6" s="531" t="s">
        <v>410</v>
      </c>
      <c r="D6" s="339" t="s">
        <v>411</v>
      </c>
      <c r="E6" s="434" t="s">
        <v>526</v>
      </c>
      <c r="F6" s="339" t="s">
        <v>653</v>
      </c>
    </row>
    <row r="7" spans="1:6" ht="54" customHeight="1" thickBot="1">
      <c r="A7" s="532"/>
      <c r="B7" s="533"/>
      <c r="C7" s="534"/>
      <c r="D7" s="347"/>
      <c r="E7" s="436"/>
      <c r="F7" s="347"/>
    </row>
    <row r="8" spans="1:6" ht="14.25" thickBot="1">
      <c r="A8" s="535">
        <v>1</v>
      </c>
      <c r="B8" s="536">
        <v>2</v>
      </c>
      <c r="C8" s="537">
        <v>3</v>
      </c>
      <c r="D8" s="538">
        <v>4</v>
      </c>
      <c r="E8" s="539">
        <v>5</v>
      </c>
      <c r="F8" s="538">
        <v>6</v>
      </c>
    </row>
    <row r="9" spans="1:6" s="541" customFormat="1" ht="47.25">
      <c r="A9" s="540">
        <v>1</v>
      </c>
      <c r="B9" s="358" t="s">
        <v>654</v>
      </c>
      <c r="C9" s="359" t="s">
        <v>554</v>
      </c>
      <c r="D9" s="263">
        <v>23.35</v>
      </c>
      <c r="E9" s="274"/>
      <c r="F9" s="360"/>
    </row>
    <row r="10" spans="1:6" s="541" customFormat="1" ht="31.5">
      <c r="A10" s="542" t="s">
        <v>535</v>
      </c>
      <c r="B10" s="358" t="s">
        <v>655</v>
      </c>
      <c r="C10" s="362" t="s">
        <v>530</v>
      </c>
      <c r="D10" s="363">
        <f>D9*0.03</f>
        <v>0.70050000000000001</v>
      </c>
      <c r="E10" s="274"/>
      <c r="F10" s="360"/>
    </row>
    <row r="11" spans="1:6" s="541" customFormat="1" ht="47.25">
      <c r="A11" s="542">
        <v>2</v>
      </c>
      <c r="B11" s="358" t="s">
        <v>885</v>
      </c>
      <c r="C11" s="359" t="s">
        <v>554</v>
      </c>
      <c r="D11" s="263">
        <v>22.85</v>
      </c>
      <c r="E11" s="274"/>
      <c r="F11" s="360"/>
    </row>
    <row r="12" spans="1:6" s="541" customFormat="1" ht="31.5">
      <c r="A12" s="543" t="s">
        <v>545</v>
      </c>
      <c r="B12" s="358" t="s">
        <v>655</v>
      </c>
      <c r="C12" s="362" t="s">
        <v>530</v>
      </c>
      <c r="D12" s="363">
        <f>D11*0.03</f>
        <v>0.6855</v>
      </c>
      <c r="E12" s="274"/>
      <c r="F12" s="360"/>
    </row>
    <row r="13" spans="1:6" s="541" customFormat="1" ht="47.25">
      <c r="A13" s="542">
        <v>3</v>
      </c>
      <c r="B13" s="358" t="s">
        <v>658</v>
      </c>
      <c r="C13" s="359" t="s">
        <v>554</v>
      </c>
      <c r="D13" s="283">
        <v>1.6</v>
      </c>
      <c r="E13" s="274"/>
      <c r="F13" s="360"/>
    </row>
    <row r="14" spans="1:6" s="541" customFormat="1" ht="47.25">
      <c r="A14" s="542">
        <v>4</v>
      </c>
      <c r="B14" s="358" t="s">
        <v>659</v>
      </c>
      <c r="C14" s="366" t="s">
        <v>530</v>
      </c>
      <c r="D14" s="278">
        <v>0.45</v>
      </c>
      <c r="E14" s="266"/>
      <c r="F14" s="360"/>
    </row>
    <row r="15" spans="1:6" s="541" customFormat="1" ht="31.5">
      <c r="A15" s="542">
        <v>5</v>
      </c>
      <c r="B15" s="358" t="s">
        <v>660</v>
      </c>
      <c r="C15" s="366" t="s">
        <v>554</v>
      </c>
      <c r="D15" s="259">
        <v>18.600000000000001</v>
      </c>
      <c r="E15" s="266"/>
      <c r="F15" s="360"/>
    </row>
    <row r="16" spans="1:6" s="541" customFormat="1" ht="31.5">
      <c r="A16" s="542">
        <v>6</v>
      </c>
      <c r="B16" s="358" t="s">
        <v>661</v>
      </c>
      <c r="C16" s="366" t="s">
        <v>554</v>
      </c>
      <c r="D16" s="259">
        <f>D15</f>
        <v>18.600000000000001</v>
      </c>
      <c r="E16" s="266"/>
      <c r="F16" s="360"/>
    </row>
    <row r="17" spans="1:6" s="541" customFormat="1" ht="15.75">
      <c r="A17" s="542">
        <v>7</v>
      </c>
      <c r="B17" s="358" t="s">
        <v>662</v>
      </c>
      <c r="C17" s="359" t="s">
        <v>554</v>
      </c>
      <c r="D17" s="263">
        <f>D15</f>
        <v>18.600000000000001</v>
      </c>
      <c r="E17" s="274"/>
      <c r="F17" s="360"/>
    </row>
    <row r="18" spans="1:6" ht="16.5" thickBot="1">
      <c r="A18" s="544"/>
      <c r="B18" s="404" t="s">
        <v>407</v>
      </c>
      <c r="C18" s="404"/>
      <c r="D18" s="405"/>
      <c r="E18" s="406"/>
      <c r="F18" s="545">
        <f>SUM(F9:F17)</f>
        <v>0</v>
      </c>
    </row>
    <row r="39" spans="2:6" ht="15" customHeight="1">
      <c r="B39" s="546"/>
      <c r="C39" s="546"/>
      <c r="D39" s="546"/>
      <c r="E39" s="546"/>
      <c r="F39" s="546"/>
    </row>
  </sheetData>
  <mergeCells count="12">
    <mergeCell ref="F6:F7"/>
    <mergeCell ref="B39:F39"/>
    <mergeCell ref="A1:F1"/>
    <mergeCell ref="A2:F2"/>
    <mergeCell ref="A3:F3"/>
    <mergeCell ref="A4:F4"/>
    <mergeCell ref="A5:F5"/>
    <mergeCell ref="A6:A7"/>
    <mergeCell ref="B6:B7"/>
    <mergeCell ref="C6:C7"/>
    <mergeCell ref="D6:D7"/>
    <mergeCell ref="E6:E7"/>
  </mergeCells>
  <pageMargins left="0.7" right="0.7" top="0.75" bottom="0.75" header="0.3" footer="0.3"/>
  <pageSetup paperSize="9"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6"/>
  <sheetViews>
    <sheetView topLeftCell="A15"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9" s="199" customFormat="1" ht="32.25" customHeight="1">
      <c r="A1" s="231" t="str">
        <f>'N3-2'!A1:F1</f>
        <v>yazbegis, aragvis, fSav-xevsureTisa da TuSeTis dacul teritoriebze arsebuli 7 qoxis saxarjTaRricxvo dokumentacia.</v>
      </c>
      <c r="B1" s="198"/>
      <c r="C1" s="198"/>
      <c r="D1" s="198"/>
      <c r="E1" s="198"/>
      <c r="F1" s="198"/>
    </row>
    <row r="2" spans="1:9" s="376" customFormat="1" ht="13.5" customHeight="1">
      <c r="A2" s="375" t="s">
        <v>664</v>
      </c>
      <c r="B2" s="375"/>
      <c r="C2" s="375"/>
      <c r="D2" s="375"/>
      <c r="E2" s="375"/>
      <c r="F2" s="375"/>
    </row>
    <row r="3" spans="1:9" s="376" customFormat="1" ht="19.5" customHeight="1">
      <c r="A3" s="330" t="s">
        <v>945</v>
      </c>
      <c r="B3" s="330"/>
      <c r="C3" s="330"/>
      <c r="D3" s="330"/>
      <c r="E3" s="330"/>
      <c r="F3" s="330"/>
    </row>
    <row r="4" spans="1:9" s="335" customFormat="1" ht="20.25" customHeight="1">
      <c r="A4" s="377" t="s">
        <v>974</v>
      </c>
      <c r="B4" s="377"/>
      <c r="C4" s="377"/>
      <c r="D4" s="377"/>
      <c r="E4" s="377"/>
      <c r="F4" s="377"/>
    </row>
    <row r="5" spans="1:9" s="199" customFormat="1" ht="19.5" customHeight="1" thickBot="1">
      <c r="A5" s="379" t="s">
        <v>511</v>
      </c>
      <c r="B5" s="379"/>
      <c r="C5" s="379"/>
      <c r="D5" s="379"/>
      <c r="E5" s="379"/>
      <c r="F5" s="379"/>
    </row>
    <row r="6" spans="1:9" ht="87.6" customHeight="1" thickBot="1">
      <c r="A6" s="381" t="s">
        <v>523</v>
      </c>
      <c r="B6" s="382" t="s">
        <v>524</v>
      </c>
      <c r="C6" s="383" t="s">
        <v>525</v>
      </c>
      <c r="D6" s="384" t="s">
        <v>411</v>
      </c>
      <c r="E6" s="385" t="s">
        <v>526</v>
      </c>
      <c r="F6" s="386" t="s">
        <v>527</v>
      </c>
    </row>
    <row r="7" spans="1:9" ht="16.5" thickBot="1">
      <c r="A7" s="387">
        <v>1</v>
      </c>
      <c r="B7" s="388">
        <v>2</v>
      </c>
      <c r="C7" s="389">
        <v>3</v>
      </c>
      <c r="D7" s="390" t="s">
        <v>488</v>
      </c>
      <c r="E7" s="391" t="s">
        <v>513</v>
      </c>
      <c r="F7" s="392" t="s">
        <v>515</v>
      </c>
    </row>
    <row r="8" spans="1:9" s="397" customFormat="1" ht="123.75" customHeight="1">
      <c r="A8" s="393" t="s">
        <v>5</v>
      </c>
      <c r="B8" s="394" t="s">
        <v>666</v>
      </c>
      <c r="C8" s="393" t="s">
        <v>667</v>
      </c>
      <c r="D8" s="395">
        <v>1</v>
      </c>
      <c r="E8" s="396"/>
      <c r="F8" s="396"/>
    </row>
    <row r="9" spans="1:9" s="397" customFormat="1" ht="53.25" customHeight="1">
      <c r="A9" s="393" t="s">
        <v>7</v>
      </c>
      <c r="B9" s="394" t="s">
        <v>975</v>
      </c>
      <c r="C9" s="393" t="s">
        <v>669</v>
      </c>
      <c r="D9" s="395">
        <v>1</v>
      </c>
      <c r="E9" s="396"/>
      <c r="F9" s="396"/>
    </row>
    <row r="10" spans="1:9" s="398" customFormat="1" ht="76.5">
      <c r="A10" s="393" t="s">
        <v>487</v>
      </c>
      <c r="B10" s="394" t="s">
        <v>670</v>
      </c>
      <c r="C10" s="393" t="s">
        <v>667</v>
      </c>
      <c r="D10" s="395">
        <v>1</v>
      </c>
      <c r="E10" s="396"/>
      <c r="F10" s="396"/>
      <c r="H10" s="397"/>
      <c r="I10" s="397"/>
    </row>
    <row r="11" spans="1:9" s="397" customFormat="1" ht="31.5" customHeight="1">
      <c r="A11" s="393" t="s">
        <v>488</v>
      </c>
      <c r="B11" s="394" t="s">
        <v>671</v>
      </c>
      <c r="C11" s="393" t="s">
        <v>669</v>
      </c>
      <c r="D11" s="395">
        <v>1</v>
      </c>
      <c r="E11" s="396"/>
      <c r="F11" s="396"/>
    </row>
    <row r="12" spans="1:9" s="398" customFormat="1" ht="62.25" customHeight="1">
      <c r="A12" s="393" t="s">
        <v>513</v>
      </c>
      <c r="B12" s="394" t="s">
        <v>888</v>
      </c>
      <c r="C12" s="393" t="s">
        <v>669</v>
      </c>
      <c r="D12" s="395">
        <v>1</v>
      </c>
      <c r="E12" s="396"/>
      <c r="F12" s="396"/>
      <c r="H12" s="397"/>
      <c r="I12" s="397"/>
    </row>
    <row r="13" spans="1:9" s="398" customFormat="1" ht="31.5" customHeight="1">
      <c r="A13" s="393" t="s">
        <v>515</v>
      </c>
      <c r="B13" s="394" t="s">
        <v>673</v>
      </c>
      <c r="C13" s="393" t="s">
        <v>674</v>
      </c>
      <c r="D13" s="395">
        <v>3</v>
      </c>
      <c r="E13" s="396"/>
      <c r="F13" s="396"/>
      <c r="H13" s="397"/>
      <c r="I13" s="397"/>
    </row>
    <row r="14" spans="1:9" s="398" customFormat="1" ht="31.5" customHeight="1">
      <c r="A14" s="393" t="s">
        <v>675</v>
      </c>
      <c r="B14" s="394" t="s">
        <v>676</v>
      </c>
      <c r="C14" s="393" t="s">
        <v>667</v>
      </c>
      <c r="D14" s="395">
        <v>2</v>
      </c>
      <c r="E14" s="396"/>
      <c r="F14" s="396"/>
      <c r="H14" s="397"/>
      <c r="I14" s="397"/>
    </row>
    <row r="15" spans="1:9" s="398" customFormat="1" ht="22.5" customHeight="1">
      <c r="A15" s="393" t="s">
        <v>686</v>
      </c>
      <c r="B15" s="401" t="s">
        <v>677</v>
      </c>
      <c r="C15" s="393" t="s">
        <v>667</v>
      </c>
      <c r="D15" s="402">
        <v>1</v>
      </c>
      <c r="E15" s="403"/>
      <c r="F15" s="396"/>
      <c r="H15" s="397"/>
      <c r="I15" s="397"/>
    </row>
    <row r="16" spans="1:9" s="398" customFormat="1" ht="20.25" customHeight="1">
      <c r="A16" s="404"/>
      <c r="B16" s="404" t="s">
        <v>407</v>
      </c>
      <c r="C16" s="404"/>
      <c r="D16" s="405"/>
      <c r="E16" s="406"/>
      <c r="F16" s="407">
        <f>SUM(F8:F15)</f>
        <v>0</v>
      </c>
    </row>
  </sheetData>
  <protectedRanges>
    <protectedRange sqref="B8:D8 B10:D10" name="Диапазон1_1_1"/>
  </protectedRanges>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5"/>
  <sheetViews>
    <sheetView topLeftCell="A24"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7" s="199" customFormat="1" ht="32.25" customHeight="1">
      <c r="A1" s="231" t="str">
        <f>'N3-3'!A1:F1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945</v>
      </c>
      <c r="B3" s="330"/>
      <c r="C3" s="330"/>
      <c r="D3" s="330"/>
      <c r="E3" s="330"/>
      <c r="F3" s="330"/>
    </row>
    <row r="4" spans="1:7" s="335" customFormat="1" ht="20.25" customHeight="1">
      <c r="A4" s="377" t="s">
        <v>976</v>
      </c>
      <c r="B4" s="377"/>
      <c r="C4" s="377"/>
      <c r="D4" s="377"/>
      <c r="E4" s="377"/>
      <c r="F4" s="377"/>
      <c r="G4" s="378"/>
    </row>
    <row r="5" spans="1:7" s="199" customFormat="1" ht="19.5" customHeight="1" thickBot="1">
      <c r="A5" s="379" t="s">
        <v>512</v>
      </c>
      <c r="B5" s="379"/>
      <c r="C5" s="379"/>
      <c r="D5" s="379"/>
      <c r="E5" s="379"/>
      <c r="F5" s="379"/>
      <c r="G5" s="380"/>
    </row>
    <row r="6" spans="1:7" ht="87.6" customHeight="1" thickBot="1">
      <c r="A6" s="381" t="s">
        <v>523</v>
      </c>
      <c r="B6" s="382" t="s">
        <v>524</v>
      </c>
      <c r="C6" s="383" t="s">
        <v>525</v>
      </c>
      <c r="D6" s="384" t="s">
        <v>411</v>
      </c>
      <c r="E6" s="385" t="s">
        <v>526</v>
      </c>
      <c r="F6" s="386" t="s">
        <v>527</v>
      </c>
    </row>
    <row r="7" spans="1:7" ht="16.5" thickBot="1">
      <c r="A7" s="387">
        <v>1</v>
      </c>
      <c r="B7" s="388">
        <v>2</v>
      </c>
      <c r="C7" s="389">
        <v>3</v>
      </c>
      <c r="D7" s="390" t="s">
        <v>488</v>
      </c>
      <c r="E7" s="391" t="s">
        <v>513</v>
      </c>
      <c r="F7" s="392" t="s">
        <v>515</v>
      </c>
    </row>
    <row r="8" spans="1:7" s="397" customFormat="1" ht="73.5" customHeight="1">
      <c r="A8" s="393" t="s">
        <v>5</v>
      </c>
      <c r="B8" s="394" t="s">
        <v>679</v>
      </c>
      <c r="C8" s="393" t="s">
        <v>674</v>
      </c>
      <c r="D8" s="395">
        <v>1</v>
      </c>
      <c r="E8" s="396"/>
      <c r="F8" s="396"/>
    </row>
    <row r="9" spans="1:7" s="397" customFormat="1" ht="36" customHeight="1">
      <c r="A9" s="393" t="s">
        <v>7</v>
      </c>
      <c r="B9" s="394" t="s">
        <v>680</v>
      </c>
      <c r="C9" s="393" t="s">
        <v>674</v>
      </c>
      <c r="D9" s="395">
        <v>1</v>
      </c>
      <c r="E9" s="396"/>
      <c r="F9" s="396"/>
    </row>
    <row r="10" spans="1:7" s="398" customFormat="1" ht="13.5">
      <c r="A10" s="393" t="s">
        <v>487</v>
      </c>
      <c r="B10" s="394" t="s">
        <v>681</v>
      </c>
      <c r="C10" s="393" t="s">
        <v>674</v>
      </c>
      <c r="D10" s="395">
        <v>20</v>
      </c>
      <c r="E10" s="396"/>
      <c r="F10" s="396"/>
    </row>
    <row r="11" spans="1:7" s="397" customFormat="1" ht="30.75" customHeight="1">
      <c r="A11" s="393" t="s">
        <v>488</v>
      </c>
      <c r="B11" s="394" t="s">
        <v>682</v>
      </c>
      <c r="C11" s="393" t="s">
        <v>674</v>
      </c>
      <c r="D11" s="395">
        <v>20</v>
      </c>
      <c r="E11" s="396"/>
      <c r="F11" s="396"/>
    </row>
    <row r="12" spans="1:7" s="398" customFormat="1" ht="36.75" customHeight="1">
      <c r="A12" s="393" t="s">
        <v>513</v>
      </c>
      <c r="B12" s="394" t="s">
        <v>683</v>
      </c>
      <c r="C12" s="393" t="s">
        <v>674</v>
      </c>
      <c r="D12" s="395">
        <v>1</v>
      </c>
      <c r="E12" s="396"/>
      <c r="F12" s="396"/>
    </row>
    <row r="13" spans="1:7" s="398" customFormat="1" ht="74.25" customHeight="1">
      <c r="A13" s="393" t="s">
        <v>515</v>
      </c>
      <c r="B13" s="394" t="s">
        <v>684</v>
      </c>
      <c r="C13" s="393" t="s">
        <v>674</v>
      </c>
      <c r="D13" s="395">
        <v>1</v>
      </c>
      <c r="E13" s="396"/>
      <c r="F13" s="396"/>
    </row>
    <row r="14" spans="1:7" s="398" customFormat="1" ht="22.5" customHeight="1">
      <c r="A14" s="393" t="s">
        <v>675</v>
      </c>
      <c r="B14" s="394" t="s">
        <v>685</v>
      </c>
      <c r="C14" s="393" t="s">
        <v>674</v>
      </c>
      <c r="D14" s="395">
        <v>10</v>
      </c>
      <c r="E14" s="396"/>
      <c r="F14" s="396"/>
      <c r="G14" s="399"/>
    </row>
    <row r="15" spans="1:7" s="398" customFormat="1" ht="22.5" customHeight="1">
      <c r="A15" s="393" t="s">
        <v>686</v>
      </c>
      <c r="B15" s="394" t="s">
        <v>687</v>
      </c>
      <c r="C15" s="393" t="s">
        <v>674</v>
      </c>
      <c r="D15" s="395">
        <v>0</v>
      </c>
      <c r="E15" s="396"/>
      <c r="F15" s="396"/>
    </row>
    <row r="16" spans="1:7" s="398" customFormat="1" ht="20.25" customHeight="1">
      <c r="A16" s="393" t="s">
        <v>688</v>
      </c>
      <c r="B16" s="394" t="s">
        <v>689</v>
      </c>
      <c r="C16" s="393" t="s">
        <v>674</v>
      </c>
      <c r="D16" s="395">
        <v>2</v>
      </c>
      <c r="E16" s="396"/>
      <c r="F16" s="396"/>
    </row>
    <row r="17" spans="1:6" ht="38.25">
      <c r="A17" s="393" t="s">
        <v>690</v>
      </c>
      <c r="B17" s="394" t="s">
        <v>691</v>
      </c>
      <c r="C17" s="393" t="s">
        <v>674</v>
      </c>
      <c r="D17" s="395">
        <v>3</v>
      </c>
      <c r="E17" s="396"/>
      <c r="F17" s="396"/>
    </row>
    <row r="18" spans="1:6" ht="25.5">
      <c r="A18" s="393" t="s">
        <v>692</v>
      </c>
      <c r="B18" s="394" t="s">
        <v>693</v>
      </c>
      <c r="C18" s="393" t="s">
        <v>674</v>
      </c>
      <c r="D18" s="395">
        <v>3</v>
      </c>
      <c r="E18" s="396"/>
      <c r="F18" s="396"/>
    </row>
    <row r="19" spans="1:6" ht="242.25">
      <c r="A19" s="393" t="s">
        <v>694</v>
      </c>
      <c r="B19" s="394" t="s">
        <v>695</v>
      </c>
      <c r="C19" s="393" t="s">
        <v>667</v>
      </c>
      <c r="D19" s="395">
        <v>4</v>
      </c>
      <c r="E19" s="396"/>
      <c r="F19" s="396"/>
    </row>
    <row r="20" spans="1:6">
      <c r="A20" s="393" t="s">
        <v>696</v>
      </c>
      <c r="B20" s="410" t="s">
        <v>676</v>
      </c>
      <c r="C20" s="393" t="s">
        <v>667</v>
      </c>
      <c r="D20" s="395">
        <v>1</v>
      </c>
      <c r="E20" s="396"/>
      <c r="F20" s="396"/>
    </row>
    <row r="21" spans="1:6" ht="51">
      <c r="A21" s="393" t="s">
        <v>697</v>
      </c>
      <c r="B21" s="394" t="s">
        <v>698</v>
      </c>
      <c r="C21" s="393" t="s">
        <v>667</v>
      </c>
      <c r="D21" s="395">
        <v>1</v>
      </c>
      <c r="E21" s="396"/>
      <c r="F21" s="396"/>
    </row>
    <row r="22" spans="1:6">
      <c r="A22" s="393" t="s">
        <v>699</v>
      </c>
      <c r="B22" s="410" t="s">
        <v>676</v>
      </c>
      <c r="C22" s="393" t="s">
        <v>667</v>
      </c>
      <c r="D22" s="395">
        <v>1</v>
      </c>
      <c r="E22" s="396"/>
      <c r="F22" s="396"/>
    </row>
    <row r="23" spans="1:6" ht="89.25">
      <c r="A23" s="393" t="s">
        <v>700</v>
      </c>
      <c r="B23" s="394" t="s">
        <v>701</v>
      </c>
      <c r="C23" s="393" t="s">
        <v>667</v>
      </c>
      <c r="D23" s="395">
        <v>1</v>
      </c>
      <c r="E23" s="396"/>
      <c r="F23" s="396"/>
    </row>
    <row r="24" spans="1:6" s="398" customFormat="1" ht="22.5" customHeight="1">
      <c r="A24" s="400">
        <v>17</v>
      </c>
      <c r="B24" s="401" t="s">
        <v>702</v>
      </c>
      <c r="C24" s="393" t="s">
        <v>667</v>
      </c>
      <c r="D24" s="402">
        <v>1</v>
      </c>
      <c r="E24" s="403"/>
      <c r="F24" s="396"/>
    </row>
    <row r="25" spans="1:6" s="398" customFormat="1" ht="20.25" customHeight="1">
      <c r="A25" s="404"/>
      <c r="B25" s="404" t="s">
        <v>407</v>
      </c>
      <c r="C25" s="404"/>
      <c r="D25" s="405"/>
      <c r="E25" s="406"/>
      <c r="F25" s="407">
        <f>SUM(F8:F24)</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13"/>
  <sheetViews>
    <sheetView topLeftCell="A105"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7" s="199" customFormat="1" ht="32.25" customHeight="1">
      <c r="A1" s="231" t="str">
        <f>'N3-4'!A1:F1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945</v>
      </c>
      <c r="B3" s="330"/>
      <c r="C3" s="330"/>
      <c r="D3" s="330"/>
      <c r="E3" s="330"/>
      <c r="F3" s="330"/>
    </row>
    <row r="4" spans="1:7" s="335" customFormat="1" ht="20.25" customHeight="1">
      <c r="A4" s="377" t="s">
        <v>977</v>
      </c>
      <c r="B4" s="377"/>
      <c r="C4" s="377"/>
      <c r="D4" s="377"/>
      <c r="E4" s="377"/>
      <c r="F4" s="377"/>
      <c r="G4" s="378"/>
    </row>
    <row r="5" spans="1:7" s="199" customFormat="1" ht="19.5" customHeight="1" thickBot="1">
      <c r="A5" s="379" t="s">
        <v>514</v>
      </c>
      <c r="B5" s="379"/>
      <c r="C5" s="379"/>
      <c r="D5" s="379"/>
      <c r="E5" s="379"/>
      <c r="F5" s="379"/>
      <c r="G5" s="380"/>
    </row>
    <row r="6" spans="1:7" ht="87.6" customHeight="1">
      <c r="A6" s="381" t="s">
        <v>523</v>
      </c>
      <c r="B6" s="382" t="s">
        <v>524</v>
      </c>
      <c r="C6" s="383" t="s">
        <v>525</v>
      </c>
      <c r="D6" s="384" t="s">
        <v>411</v>
      </c>
      <c r="E6" s="385" t="s">
        <v>526</v>
      </c>
      <c r="F6" s="386" t="s">
        <v>527</v>
      </c>
    </row>
    <row r="7" spans="1:7">
      <c r="A7" s="411">
        <v>1</v>
      </c>
      <c r="B7" s="411">
        <v>2</v>
      </c>
      <c r="C7" s="412">
        <v>3</v>
      </c>
      <c r="D7" s="413" t="s">
        <v>488</v>
      </c>
      <c r="E7" s="414" t="s">
        <v>513</v>
      </c>
      <c r="F7" s="413" t="s">
        <v>515</v>
      </c>
    </row>
    <row r="8" spans="1:7" s="397" customFormat="1" ht="28.5" customHeight="1">
      <c r="A8" s="393" t="s">
        <v>5</v>
      </c>
      <c r="B8" s="415" t="s">
        <v>704</v>
      </c>
      <c r="C8" s="416" t="s">
        <v>705</v>
      </c>
      <c r="D8" s="417">
        <v>295</v>
      </c>
      <c r="E8" s="418"/>
      <c r="F8" s="419"/>
    </row>
    <row r="9" spans="1:7" s="397" customFormat="1" ht="21.75" customHeight="1">
      <c r="A9" s="393" t="s">
        <v>7</v>
      </c>
      <c r="B9" s="420" t="s">
        <v>706</v>
      </c>
      <c r="C9" s="393" t="s">
        <v>707</v>
      </c>
      <c r="D9" s="417">
        <v>240</v>
      </c>
      <c r="E9" s="421"/>
      <c r="F9" s="419"/>
    </row>
    <row r="10" spans="1:7" s="398" customFormat="1" ht="42" customHeight="1">
      <c r="A10" s="393" t="s">
        <v>487</v>
      </c>
      <c r="B10" s="420" t="s">
        <v>708</v>
      </c>
      <c r="C10" s="393" t="s">
        <v>709</v>
      </c>
      <c r="D10" s="395">
        <v>55</v>
      </c>
      <c r="E10" s="396"/>
      <c r="F10" s="396"/>
    </row>
    <row r="11" spans="1:7" s="397" customFormat="1" ht="28.5" customHeight="1">
      <c r="A11" s="422">
        <f t="shared" ref="A11:A74" si="0">A10+1</f>
        <v>4</v>
      </c>
      <c r="B11" s="394" t="s">
        <v>710</v>
      </c>
      <c r="C11" s="393" t="s">
        <v>711</v>
      </c>
      <c r="D11" s="395">
        <v>350</v>
      </c>
      <c r="E11" s="396"/>
      <c r="F11" s="396"/>
    </row>
    <row r="12" spans="1:7" s="397" customFormat="1" ht="21.75" customHeight="1">
      <c r="A12" s="422">
        <f t="shared" si="0"/>
        <v>5</v>
      </c>
      <c r="B12" s="394" t="s">
        <v>712</v>
      </c>
      <c r="C12" s="393" t="s">
        <v>711</v>
      </c>
      <c r="D12" s="395">
        <v>8</v>
      </c>
      <c r="E12" s="396"/>
      <c r="F12" s="396"/>
    </row>
    <row r="13" spans="1:7" s="398" customFormat="1" ht="21.75" customHeight="1">
      <c r="A13" s="422">
        <f t="shared" si="0"/>
        <v>6</v>
      </c>
      <c r="B13" s="394" t="s">
        <v>713</v>
      </c>
      <c r="C13" s="393" t="s">
        <v>711</v>
      </c>
      <c r="D13" s="395">
        <v>15</v>
      </c>
      <c r="E13" s="396"/>
      <c r="F13" s="396"/>
    </row>
    <row r="14" spans="1:7" s="397" customFormat="1" ht="21.75" customHeight="1">
      <c r="A14" s="422">
        <f t="shared" si="0"/>
        <v>7</v>
      </c>
      <c r="B14" s="394" t="s">
        <v>714</v>
      </c>
      <c r="C14" s="393" t="s">
        <v>711</v>
      </c>
      <c r="D14" s="395">
        <v>20</v>
      </c>
      <c r="E14" s="396"/>
      <c r="F14" s="396"/>
    </row>
    <row r="15" spans="1:7" s="398" customFormat="1" ht="21.75" customHeight="1">
      <c r="A15" s="422">
        <f t="shared" si="0"/>
        <v>8</v>
      </c>
      <c r="B15" s="394" t="s">
        <v>715</v>
      </c>
      <c r="C15" s="393" t="s">
        <v>51</v>
      </c>
      <c r="D15" s="395">
        <v>1</v>
      </c>
      <c r="E15" s="396"/>
      <c r="F15" s="396"/>
    </row>
    <row r="16" spans="1:7" s="398" customFormat="1" ht="21.75" customHeight="1">
      <c r="A16" s="422">
        <f t="shared" si="0"/>
        <v>9</v>
      </c>
      <c r="B16" s="394" t="s">
        <v>716</v>
      </c>
      <c r="C16" s="393" t="s">
        <v>51</v>
      </c>
      <c r="D16" s="395">
        <v>25</v>
      </c>
      <c r="E16" s="396"/>
      <c r="F16" s="396"/>
      <c r="G16" s="399"/>
    </row>
    <row r="17" spans="1:6" s="398" customFormat="1" ht="21.75" customHeight="1">
      <c r="A17" s="422">
        <f t="shared" si="0"/>
        <v>10</v>
      </c>
      <c r="B17" s="394" t="s">
        <v>717</v>
      </c>
      <c r="C17" s="393" t="s">
        <v>51</v>
      </c>
      <c r="D17" s="495">
        <v>33.333333333333336</v>
      </c>
      <c r="E17" s="396"/>
      <c r="F17" s="396"/>
    </row>
    <row r="18" spans="1:6" s="398" customFormat="1" ht="21.75" customHeight="1">
      <c r="A18" s="422">
        <f t="shared" si="0"/>
        <v>11</v>
      </c>
      <c r="B18" s="394" t="s">
        <v>718</v>
      </c>
      <c r="C18" s="393" t="s">
        <v>711</v>
      </c>
      <c r="D18" s="395">
        <v>8</v>
      </c>
      <c r="E18" s="396"/>
      <c r="F18" s="396"/>
    </row>
    <row r="19" spans="1:6" ht="21.75" customHeight="1">
      <c r="A19" s="422">
        <f t="shared" si="0"/>
        <v>12</v>
      </c>
      <c r="B19" s="394" t="s">
        <v>719</v>
      </c>
      <c r="C19" s="393" t="s">
        <v>711</v>
      </c>
      <c r="D19" s="395">
        <v>15</v>
      </c>
      <c r="E19" s="396"/>
      <c r="F19" s="396"/>
    </row>
    <row r="20" spans="1:6" ht="21.75" customHeight="1">
      <c r="A20" s="422">
        <f t="shared" si="0"/>
        <v>13</v>
      </c>
      <c r="B20" s="394" t="s">
        <v>720</v>
      </c>
      <c r="C20" s="393" t="s">
        <v>711</v>
      </c>
      <c r="D20" s="395">
        <v>20</v>
      </c>
      <c r="E20" s="396"/>
      <c r="F20" s="396"/>
    </row>
    <row r="21" spans="1:6" ht="21.75" customHeight="1">
      <c r="A21" s="422">
        <f t="shared" si="0"/>
        <v>14</v>
      </c>
      <c r="B21" s="394" t="s">
        <v>721</v>
      </c>
      <c r="C21" s="393" t="s">
        <v>711</v>
      </c>
      <c r="D21" s="395">
        <v>15</v>
      </c>
      <c r="E21" s="396"/>
      <c r="F21" s="396"/>
    </row>
    <row r="22" spans="1:6" ht="21.75" customHeight="1">
      <c r="A22" s="422">
        <f t="shared" si="0"/>
        <v>15</v>
      </c>
      <c r="B22" s="394" t="s">
        <v>722</v>
      </c>
      <c r="C22" s="393" t="s">
        <v>711</v>
      </c>
      <c r="D22" s="395">
        <v>16</v>
      </c>
      <c r="E22" s="396"/>
      <c r="F22" s="396"/>
    </row>
    <row r="23" spans="1:6" ht="21.75" customHeight="1">
      <c r="A23" s="422">
        <f t="shared" si="0"/>
        <v>16</v>
      </c>
      <c r="B23" s="394" t="s">
        <v>723</v>
      </c>
      <c r="C23" s="393" t="s">
        <v>51</v>
      </c>
      <c r="D23" s="395">
        <v>1</v>
      </c>
      <c r="E23" s="396"/>
      <c r="F23" s="396"/>
    </row>
    <row r="24" spans="1:6" ht="21.75" customHeight="1">
      <c r="A24" s="422">
        <f t="shared" si="0"/>
        <v>17</v>
      </c>
      <c r="B24" s="394" t="s">
        <v>724</v>
      </c>
      <c r="C24" s="393" t="s">
        <v>51</v>
      </c>
      <c r="D24" s="395">
        <v>25</v>
      </c>
      <c r="E24" s="396"/>
      <c r="F24" s="396"/>
    </row>
    <row r="25" spans="1:6" ht="21.75" customHeight="1">
      <c r="A25" s="422">
        <f t="shared" si="0"/>
        <v>18</v>
      </c>
      <c r="B25" s="394" t="s">
        <v>725</v>
      </c>
      <c r="C25" s="393" t="s">
        <v>51</v>
      </c>
      <c r="D25" s="495">
        <v>26.666666666666668</v>
      </c>
      <c r="E25" s="396"/>
      <c r="F25" s="396"/>
    </row>
    <row r="26" spans="1:6" ht="21.75" customHeight="1">
      <c r="A26" s="422">
        <f t="shared" si="0"/>
        <v>19</v>
      </c>
      <c r="B26" s="394" t="s">
        <v>726</v>
      </c>
      <c r="C26" s="393" t="s">
        <v>711</v>
      </c>
      <c r="D26" s="395">
        <v>15</v>
      </c>
      <c r="E26" s="396"/>
      <c r="F26" s="396"/>
    </row>
    <row r="27" spans="1:6" ht="21.75" customHeight="1">
      <c r="A27" s="422">
        <f t="shared" si="0"/>
        <v>20</v>
      </c>
      <c r="B27" s="394" t="s">
        <v>727</v>
      </c>
      <c r="C27" s="393" t="s">
        <v>711</v>
      </c>
      <c r="D27" s="395">
        <v>16</v>
      </c>
      <c r="E27" s="396"/>
      <c r="F27" s="396"/>
    </row>
    <row r="28" spans="1:6" ht="21.75" customHeight="1">
      <c r="A28" s="422">
        <f t="shared" si="0"/>
        <v>21</v>
      </c>
      <c r="B28" s="394" t="s">
        <v>728</v>
      </c>
      <c r="C28" s="393" t="s">
        <v>51</v>
      </c>
      <c r="D28" s="395">
        <v>3</v>
      </c>
      <c r="E28" s="396"/>
      <c r="F28" s="396"/>
    </row>
    <row r="29" spans="1:6" ht="21.75" customHeight="1">
      <c r="A29" s="422">
        <f t="shared" si="0"/>
        <v>22</v>
      </c>
      <c r="B29" s="394" t="s">
        <v>729</v>
      </c>
      <c r="C29" s="393" t="s">
        <v>51</v>
      </c>
      <c r="D29" s="395">
        <v>4</v>
      </c>
      <c r="E29" s="396"/>
      <c r="F29" s="396"/>
    </row>
    <row r="30" spans="1:6" ht="21.75" customHeight="1">
      <c r="A30" s="422">
        <f t="shared" si="0"/>
        <v>23</v>
      </c>
      <c r="B30" s="394" t="s">
        <v>730</v>
      </c>
      <c r="C30" s="393" t="s">
        <v>51</v>
      </c>
      <c r="D30" s="395">
        <v>20</v>
      </c>
      <c r="E30" s="396"/>
      <c r="F30" s="396"/>
    </row>
    <row r="31" spans="1:6" ht="21.75" customHeight="1">
      <c r="A31" s="422">
        <f t="shared" si="0"/>
        <v>24</v>
      </c>
      <c r="B31" s="394" t="s">
        <v>731</v>
      </c>
      <c r="C31" s="393" t="s">
        <v>51</v>
      </c>
      <c r="D31" s="395">
        <v>30</v>
      </c>
      <c r="E31" s="396"/>
      <c r="F31" s="396"/>
    </row>
    <row r="32" spans="1:6" ht="21.75" customHeight="1">
      <c r="A32" s="422">
        <f t="shared" si="0"/>
        <v>25</v>
      </c>
      <c r="B32" s="394" t="s">
        <v>732</v>
      </c>
      <c r="C32" s="393" t="s">
        <v>51</v>
      </c>
      <c r="D32" s="395">
        <v>30</v>
      </c>
      <c r="E32" s="396"/>
      <c r="F32" s="396"/>
    </row>
    <row r="33" spans="1:6" ht="21.75" customHeight="1">
      <c r="A33" s="422">
        <f t="shared" si="0"/>
        <v>26</v>
      </c>
      <c r="B33" s="394" t="s">
        <v>733</v>
      </c>
      <c r="C33" s="393" t="s">
        <v>51</v>
      </c>
      <c r="D33" s="395">
        <v>4</v>
      </c>
      <c r="E33" s="396"/>
      <c r="F33" s="396"/>
    </row>
    <row r="34" spans="1:6" ht="21.75" customHeight="1">
      <c r="A34" s="422">
        <f t="shared" si="0"/>
        <v>27</v>
      </c>
      <c r="B34" s="394" t="s">
        <v>734</v>
      </c>
      <c r="C34" s="393" t="s">
        <v>51</v>
      </c>
      <c r="D34" s="395">
        <v>5</v>
      </c>
      <c r="E34" s="396"/>
      <c r="F34" s="396"/>
    </row>
    <row r="35" spans="1:6" ht="21.75" customHeight="1">
      <c r="A35" s="422">
        <f t="shared" si="0"/>
        <v>28</v>
      </c>
      <c r="B35" s="394" t="s">
        <v>735</v>
      </c>
      <c r="C35" s="393" t="s">
        <v>51</v>
      </c>
      <c r="D35" s="395">
        <v>10</v>
      </c>
      <c r="E35" s="396"/>
      <c r="F35" s="396"/>
    </row>
    <row r="36" spans="1:6" ht="21.75" customHeight="1">
      <c r="A36" s="422">
        <f t="shared" si="0"/>
        <v>29</v>
      </c>
      <c r="B36" s="394" t="s">
        <v>736</v>
      </c>
      <c r="C36" s="393" t="s">
        <v>51</v>
      </c>
      <c r="D36" s="395">
        <v>10</v>
      </c>
      <c r="E36" s="396"/>
      <c r="F36" s="396"/>
    </row>
    <row r="37" spans="1:6" ht="21.75" customHeight="1">
      <c r="A37" s="422">
        <f t="shared" si="0"/>
        <v>30</v>
      </c>
      <c r="B37" s="394" t="s">
        <v>737</v>
      </c>
      <c r="C37" s="393" t="s">
        <v>51</v>
      </c>
      <c r="D37" s="395">
        <v>2</v>
      </c>
      <c r="E37" s="396"/>
      <c r="F37" s="396"/>
    </row>
    <row r="38" spans="1:6" ht="21.75" customHeight="1">
      <c r="A38" s="422">
        <f t="shared" si="0"/>
        <v>31</v>
      </c>
      <c r="B38" s="394" t="s">
        <v>738</v>
      </c>
      <c r="C38" s="393" t="s">
        <v>51</v>
      </c>
      <c r="D38" s="395">
        <v>4</v>
      </c>
      <c r="E38" s="396"/>
      <c r="F38" s="396"/>
    </row>
    <row r="39" spans="1:6" ht="21.75" customHeight="1">
      <c r="A39" s="422">
        <f t="shared" si="0"/>
        <v>32</v>
      </c>
      <c r="B39" s="394" t="s">
        <v>739</v>
      </c>
      <c r="C39" s="393" t="s">
        <v>51</v>
      </c>
      <c r="D39" s="395">
        <v>15</v>
      </c>
      <c r="E39" s="396"/>
      <c r="F39" s="396"/>
    </row>
    <row r="40" spans="1:6" ht="21.75" customHeight="1">
      <c r="A40" s="422">
        <f t="shared" si="0"/>
        <v>33</v>
      </c>
      <c r="B40" s="394" t="s">
        <v>740</v>
      </c>
      <c r="C40" s="393" t="s">
        <v>51</v>
      </c>
      <c r="D40" s="395">
        <v>10</v>
      </c>
      <c r="E40" s="396"/>
      <c r="F40" s="396"/>
    </row>
    <row r="41" spans="1:6" ht="21.75" customHeight="1">
      <c r="A41" s="422">
        <f t="shared" si="0"/>
        <v>34</v>
      </c>
      <c r="B41" s="394" t="s">
        <v>741</v>
      </c>
      <c r="C41" s="393" t="s">
        <v>51</v>
      </c>
      <c r="D41" s="395">
        <v>15</v>
      </c>
      <c r="E41" s="396"/>
      <c r="F41" s="396"/>
    </row>
    <row r="42" spans="1:6" ht="21.75" customHeight="1">
      <c r="A42" s="422">
        <f t="shared" si="0"/>
        <v>35</v>
      </c>
      <c r="B42" s="394" t="s">
        <v>742</v>
      </c>
      <c r="C42" s="393" t="s">
        <v>51</v>
      </c>
      <c r="D42" s="395">
        <v>4</v>
      </c>
      <c r="E42" s="396"/>
      <c r="F42" s="396"/>
    </row>
    <row r="43" spans="1:6" ht="21.75" customHeight="1">
      <c r="A43" s="422">
        <f t="shared" si="0"/>
        <v>36</v>
      </c>
      <c r="B43" s="394" t="s">
        <v>743</v>
      </c>
      <c r="C43" s="393" t="s">
        <v>51</v>
      </c>
      <c r="D43" s="395">
        <v>10</v>
      </c>
      <c r="E43" s="396"/>
      <c r="F43" s="396"/>
    </row>
    <row r="44" spans="1:6" ht="21.75" customHeight="1">
      <c r="A44" s="422">
        <f t="shared" si="0"/>
        <v>37</v>
      </c>
      <c r="B44" s="394" t="s">
        <v>744</v>
      </c>
      <c r="C44" s="393" t="s">
        <v>51</v>
      </c>
      <c r="D44" s="395">
        <v>10</v>
      </c>
      <c r="E44" s="396"/>
      <c r="F44" s="396"/>
    </row>
    <row r="45" spans="1:6" ht="21.75" customHeight="1">
      <c r="A45" s="422">
        <f t="shared" si="0"/>
        <v>38</v>
      </c>
      <c r="B45" s="394" t="s">
        <v>745</v>
      </c>
      <c r="C45" s="393" t="s">
        <v>51</v>
      </c>
      <c r="D45" s="395">
        <v>20</v>
      </c>
      <c r="E45" s="396"/>
      <c r="F45" s="396"/>
    </row>
    <row r="46" spans="1:6" ht="21.75" customHeight="1">
      <c r="A46" s="422">
        <f t="shared" si="0"/>
        <v>39</v>
      </c>
      <c r="B46" s="394" t="s">
        <v>746</v>
      </c>
      <c r="C46" s="393" t="s">
        <v>51</v>
      </c>
      <c r="D46" s="395">
        <v>20</v>
      </c>
      <c r="E46" s="396"/>
      <c r="F46" s="396"/>
    </row>
    <row r="47" spans="1:6" ht="21.75" customHeight="1">
      <c r="A47" s="422">
        <f t="shared" si="0"/>
        <v>40</v>
      </c>
      <c r="B47" s="394" t="s">
        <v>747</v>
      </c>
      <c r="C47" s="393" t="s">
        <v>51</v>
      </c>
      <c r="D47" s="395">
        <v>10</v>
      </c>
      <c r="E47" s="396"/>
      <c r="F47" s="396"/>
    </row>
    <row r="48" spans="1:6" ht="21.75" customHeight="1">
      <c r="A48" s="422">
        <f t="shared" si="0"/>
        <v>41</v>
      </c>
      <c r="B48" s="394" t="s">
        <v>748</v>
      </c>
      <c r="C48" s="393" t="s">
        <v>51</v>
      </c>
      <c r="D48" s="395">
        <v>40</v>
      </c>
      <c r="E48" s="396"/>
      <c r="F48" s="396"/>
    </row>
    <row r="49" spans="1:6" ht="21.75" customHeight="1">
      <c r="A49" s="422">
        <f t="shared" si="0"/>
        <v>42</v>
      </c>
      <c r="B49" s="394" t="s">
        <v>749</v>
      </c>
      <c r="C49" s="393" t="s">
        <v>51</v>
      </c>
      <c r="D49" s="395">
        <v>20</v>
      </c>
      <c r="E49" s="396"/>
      <c r="F49" s="396"/>
    </row>
    <row r="50" spans="1:6" ht="21.75" customHeight="1">
      <c r="A50" s="422">
        <f t="shared" si="0"/>
        <v>43</v>
      </c>
      <c r="B50" s="394" t="s">
        <v>750</v>
      </c>
      <c r="C50" s="393" t="s">
        <v>51</v>
      </c>
      <c r="D50" s="395">
        <v>5</v>
      </c>
      <c r="E50" s="396"/>
      <c r="F50" s="396"/>
    </row>
    <row r="51" spans="1:6" ht="21.75" customHeight="1">
      <c r="A51" s="422">
        <f t="shared" si="0"/>
        <v>44</v>
      </c>
      <c r="B51" s="394" t="s">
        <v>751</v>
      </c>
      <c r="C51" s="393" t="s">
        <v>51</v>
      </c>
      <c r="D51" s="395">
        <v>20</v>
      </c>
      <c r="E51" s="396"/>
      <c r="F51" s="396"/>
    </row>
    <row r="52" spans="1:6" ht="21.75" customHeight="1">
      <c r="A52" s="422">
        <f t="shared" si="0"/>
        <v>45</v>
      </c>
      <c r="B52" s="394" t="s">
        <v>752</v>
      </c>
      <c r="C52" s="393" t="s">
        <v>51</v>
      </c>
      <c r="D52" s="395">
        <v>10</v>
      </c>
      <c r="E52" s="396"/>
      <c r="F52" s="396"/>
    </row>
    <row r="53" spans="1:6" ht="21.75" customHeight="1">
      <c r="A53" s="422">
        <f t="shared" si="0"/>
        <v>46</v>
      </c>
      <c r="B53" s="394" t="s">
        <v>753</v>
      </c>
      <c r="C53" s="393" t="s">
        <v>51</v>
      </c>
      <c r="D53" s="395">
        <v>15</v>
      </c>
      <c r="E53" s="396"/>
      <c r="F53" s="396"/>
    </row>
    <row r="54" spans="1:6" ht="21.75" customHeight="1">
      <c r="A54" s="422">
        <f t="shared" si="0"/>
        <v>47</v>
      </c>
      <c r="B54" s="394" t="s">
        <v>754</v>
      </c>
      <c r="C54" s="393" t="s">
        <v>51</v>
      </c>
      <c r="D54" s="395">
        <v>15</v>
      </c>
      <c r="E54" s="396"/>
      <c r="F54" s="396"/>
    </row>
    <row r="55" spans="1:6" ht="21.75" customHeight="1">
      <c r="A55" s="422">
        <f t="shared" si="0"/>
        <v>48</v>
      </c>
      <c r="B55" s="394" t="s">
        <v>978</v>
      </c>
      <c r="C55" s="393" t="s">
        <v>51</v>
      </c>
      <c r="D55" s="395">
        <v>10</v>
      </c>
      <c r="E55" s="396"/>
      <c r="F55" s="396"/>
    </row>
    <row r="56" spans="1:6" ht="21.75" customHeight="1">
      <c r="A56" s="422">
        <f t="shared" si="0"/>
        <v>49</v>
      </c>
      <c r="B56" s="394" t="s">
        <v>756</v>
      </c>
      <c r="C56" s="393" t="s">
        <v>51</v>
      </c>
      <c r="D56" s="395">
        <v>2</v>
      </c>
      <c r="E56" s="396"/>
      <c r="F56" s="396"/>
    </row>
    <row r="57" spans="1:6" ht="21.75" customHeight="1">
      <c r="A57" s="422">
        <f t="shared" si="0"/>
        <v>50</v>
      </c>
      <c r="B57" s="394" t="s">
        <v>757</v>
      </c>
      <c r="C57" s="393" t="s">
        <v>51</v>
      </c>
      <c r="D57" s="395">
        <v>4</v>
      </c>
      <c r="E57" s="396"/>
      <c r="F57" s="396"/>
    </row>
    <row r="58" spans="1:6" ht="21.75" customHeight="1">
      <c r="A58" s="422">
        <f t="shared" si="0"/>
        <v>51</v>
      </c>
      <c r="B58" s="394" t="s">
        <v>758</v>
      </c>
      <c r="C58" s="393" t="s">
        <v>51</v>
      </c>
      <c r="D58" s="395">
        <v>5</v>
      </c>
      <c r="E58" s="396"/>
      <c r="F58" s="396"/>
    </row>
    <row r="59" spans="1:6" ht="21.75" customHeight="1">
      <c r="A59" s="422">
        <f t="shared" si="0"/>
        <v>52</v>
      </c>
      <c r="B59" s="394" t="s">
        <v>759</v>
      </c>
      <c r="C59" s="393" t="s">
        <v>51</v>
      </c>
      <c r="D59" s="395">
        <v>8</v>
      </c>
      <c r="E59" s="396"/>
      <c r="F59" s="396"/>
    </row>
    <row r="60" spans="1:6" ht="21.75" customHeight="1">
      <c r="A60" s="422">
        <f t="shared" si="0"/>
        <v>53</v>
      </c>
      <c r="B60" s="394" t="s">
        <v>760</v>
      </c>
      <c r="C60" s="393" t="s">
        <v>51</v>
      </c>
      <c r="D60" s="395">
        <v>5</v>
      </c>
      <c r="E60" s="396"/>
      <c r="F60" s="396"/>
    </row>
    <row r="61" spans="1:6" ht="21.75" customHeight="1">
      <c r="A61" s="422">
        <f t="shared" si="0"/>
        <v>54</v>
      </c>
      <c r="B61" s="394" t="s">
        <v>761</v>
      </c>
      <c r="C61" s="393" t="s">
        <v>51</v>
      </c>
      <c r="D61" s="395">
        <v>1</v>
      </c>
      <c r="E61" s="396"/>
      <c r="F61" s="396"/>
    </row>
    <row r="62" spans="1:6" ht="21.75" customHeight="1">
      <c r="A62" s="422">
        <f t="shared" si="0"/>
        <v>55</v>
      </c>
      <c r="B62" s="394" t="s">
        <v>926</v>
      </c>
      <c r="C62" s="393" t="s">
        <v>51</v>
      </c>
      <c r="D62" s="395">
        <v>8</v>
      </c>
      <c r="E62" s="396"/>
      <c r="F62" s="396"/>
    </row>
    <row r="63" spans="1:6" ht="21.75" customHeight="1">
      <c r="A63" s="422">
        <f t="shared" si="0"/>
        <v>56</v>
      </c>
      <c r="B63" s="394" t="s">
        <v>979</v>
      </c>
      <c r="C63" s="393" t="s">
        <v>51</v>
      </c>
      <c r="D63" s="395">
        <v>16</v>
      </c>
      <c r="E63" s="396"/>
      <c r="F63" s="396"/>
    </row>
    <row r="64" spans="1:6" ht="21.75" customHeight="1">
      <c r="A64" s="422">
        <f t="shared" si="0"/>
        <v>57</v>
      </c>
      <c r="B64" s="394" t="s">
        <v>980</v>
      </c>
      <c r="C64" s="393" t="s">
        <v>51</v>
      </c>
      <c r="D64" s="395">
        <v>4</v>
      </c>
      <c r="E64" s="396"/>
      <c r="F64" s="396"/>
    </row>
    <row r="65" spans="1:6" ht="21.75" customHeight="1">
      <c r="A65" s="422">
        <f t="shared" si="0"/>
        <v>58</v>
      </c>
      <c r="B65" s="394" t="s">
        <v>765</v>
      </c>
      <c r="C65" s="393" t="s">
        <v>51</v>
      </c>
      <c r="D65" s="395">
        <v>2</v>
      </c>
      <c r="E65" s="396"/>
      <c r="F65" s="396"/>
    </row>
    <row r="66" spans="1:6" ht="21.75" customHeight="1">
      <c r="A66" s="422">
        <f t="shared" si="0"/>
        <v>59</v>
      </c>
      <c r="B66" s="394" t="s">
        <v>981</v>
      </c>
      <c r="C66" s="393" t="s">
        <v>51</v>
      </c>
      <c r="D66" s="395">
        <v>1</v>
      </c>
      <c r="E66" s="396"/>
      <c r="F66" s="396"/>
    </row>
    <row r="67" spans="1:6" ht="21.75" customHeight="1">
      <c r="A67" s="422">
        <f t="shared" si="0"/>
        <v>60</v>
      </c>
      <c r="B67" s="394" t="s">
        <v>767</v>
      </c>
      <c r="C67" s="393" t="s">
        <v>51</v>
      </c>
      <c r="D67" s="395">
        <v>2</v>
      </c>
      <c r="E67" s="396"/>
      <c r="F67" s="396"/>
    </row>
    <row r="68" spans="1:6" ht="21.75" customHeight="1">
      <c r="A68" s="422">
        <f t="shared" si="0"/>
        <v>61</v>
      </c>
      <c r="B68" s="394" t="s">
        <v>982</v>
      </c>
      <c r="C68" s="393" t="s">
        <v>711</v>
      </c>
      <c r="D68" s="395">
        <v>2.5</v>
      </c>
      <c r="E68" s="396"/>
      <c r="F68" s="396"/>
    </row>
    <row r="69" spans="1:6" ht="21.75" customHeight="1">
      <c r="A69" s="422">
        <f t="shared" si="0"/>
        <v>62</v>
      </c>
      <c r="B69" s="394" t="s">
        <v>769</v>
      </c>
      <c r="C69" s="393" t="s">
        <v>51</v>
      </c>
      <c r="D69" s="395">
        <v>2</v>
      </c>
      <c r="E69" s="396"/>
      <c r="F69" s="396"/>
    </row>
    <row r="70" spans="1:6" ht="21.75" customHeight="1">
      <c r="A70" s="422">
        <f t="shared" si="0"/>
        <v>63</v>
      </c>
      <c r="B70" s="394" t="s">
        <v>770</v>
      </c>
      <c r="C70" s="393" t="s">
        <v>771</v>
      </c>
      <c r="D70" s="395">
        <v>3</v>
      </c>
      <c r="E70" s="396"/>
      <c r="F70" s="396"/>
    </row>
    <row r="71" spans="1:6" ht="21.75" customHeight="1">
      <c r="A71" s="422">
        <f t="shared" si="0"/>
        <v>64</v>
      </c>
      <c r="B71" s="394" t="s">
        <v>772</v>
      </c>
      <c r="C71" s="393" t="s">
        <v>771</v>
      </c>
      <c r="D71" s="395">
        <v>3</v>
      </c>
      <c r="E71" s="396"/>
      <c r="F71" s="396"/>
    </row>
    <row r="72" spans="1:6" ht="21.75" customHeight="1">
      <c r="A72" s="422">
        <f t="shared" si="0"/>
        <v>65</v>
      </c>
      <c r="B72" s="394" t="s">
        <v>773</v>
      </c>
      <c r="C72" s="393" t="s">
        <v>51</v>
      </c>
      <c r="D72" s="395">
        <v>3</v>
      </c>
      <c r="E72" s="396"/>
      <c r="F72" s="396"/>
    </row>
    <row r="73" spans="1:6" ht="21.75" customHeight="1">
      <c r="A73" s="422">
        <f t="shared" si="0"/>
        <v>66</v>
      </c>
      <c r="B73" s="394" t="s">
        <v>774</v>
      </c>
      <c r="C73" s="393" t="s">
        <v>771</v>
      </c>
      <c r="D73" s="395">
        <v>3</v>
      </c>
      <c r="E73" s="396"/>
      <c r="F73" s="396"/>
    </row>
    <row r="74" spans="1:6" ht="21.75" customHeight="1">
      <c r="A74" s="422">
        <f t="shared" si="0"/>
        <v>67</v>
      </c>
      <c r="B74" s="394" t="s">
        <v>775</v>
      </c>
      <c r="C74" s="393" t="s">
        <v>771</v>
      </c>
      <c r="D74" s="395">
        <v>3</v>
      </c>
      <c r="E74" s="396"/>
      <c r="F74" s="396"/>
    </row>
    <row r="75" spans="1:6" ht="21.75" customHeight="1">
      <c r="A75" s="422">
        <f t="shared" ref="A75:A111" si="1">A74+1</f>
        <v>68</v>
      </c>
      <c r="B75" s="394" t="s">
        <v>776</v>
      </c>
      <c r="C75" s="393" t="s">
        <v>51</v>
      </c>
      <c r="D75" s="395">
        <v>2</v>
      </c>
      <c r="E75" s="396"/>
      <c r="F75" s="396"/>
    </row>
    <row r="76" spans="1:6" ht="21.75" customHeight="1">
      <c r="A76" s="422">
        <f t="shared" si="1"/>
        <v>69</v>
      </c>
      <c r="B76" s="394" t="s">
        <v>777</v>
      </c>
      <c r="C76" s="393" t="s">
        <v>771</v>
      </c>
      <c r="D76" s="395">
        <v>2</v>
      </c>
      <c r="E76" s="396"/>
      <c r="F76" s="396"/>
    </row>
    <row r="77" spans="1:6" ht="21.75" customHeight="1">
      <c r="A77" s="422">
        <f t="shared" si="1"/>
        <v>70</v>
      </c>
      <c r="B77" s="394" t="s">
        <v>778</v>
      </c>
      <c r="C77" s="393" t="s">
        <v>771</v>
      </c>
      <c r="D77" s="395">
        <v>2</v>
      </c>
      <c r="E77" s="396"/>
      <c r="F77" s="396"/>
    </row>
    <row r="78" spans="1:6" ht="21.75" customHeight="1">
      <c r="A78" s="422">
        <f t="shared" si="1"/>
        <v>71</v>
      </c>
      <c r="B78" s="394" t="s">
        <v>779</v>
      </c>
      <c r="C78" s="393" t="s">
        <v>51</v>
      </c>
      <c r="D78" s="395">
        <v>3</v>
      </c>
      <c r="E78" s="396"/>
      <c r="F78" s="396"/>
    </row>
    <row r="79" spans="1:6" ht="21.75" customHeight="1">
      <c r="A79" s="422">
        <f t="shared" si="1"/>
        <v>72</v>
      </c>
      <c r="B79" s="394" t="s">
        <v>780</v>
      </c>
      <c r="C79" s="393" t="s">
        <v>771</v>
      </c>
      <c r="D79" s="395">
        <v>3</v>
      </c>
      <c r="E79" s="396"/>
      <c r="F79" s="396"/>
    </row>
    <row r="80" spans="1:6" ht="21.75" customHeight="1">
      <c r="A80" s="422">
        <f t="shared" si="1"/>
        <v>73</v>
      </c>
      <c r="B80" s="394" t="s">
        <v>781</v>
      </c>
      <c r="C80" s="393" t="s">
        <v>51</v>
      </c>
      <c r="D80" s="395">
        <v>2</v>
      </c>
      <c r="E80" s="396"/>
      <c r="F80" s="396"/>
    </row>
    <row r="81" spans="1:6" ht="21.75" customHeight="1">
      <c r="A81" s="422">
        <f t="shared" si="1"/>
        <v>74</v>
      </c>
      <c r="B81" s="394" t="s">
        <v>782</v>
      </c>
      <c r="C81" s="393" t="s">
        <v>771</v>
      </c>
      <c r="D81" s="395">
        <v>2</v>
      </c>
      <c r="E81" s="396"/>
      <c r="F81" s="396"/>
    </row>
    <row r="82" spans="1:6" ht="21.75" customHeight="1">
      <c r="A82" s="422">
        <f t="shared" si="1"/>
        <v>75</v>
      </c>
      <c r="B82" s="394" t="s">
        <v>783</v>
      </c>
      <c r="C82" s="393" t="s">
        <v>51</v>
      </c>
      <c r="D82" s="395">
        <v>7</v>
      </c>
      <c r="E82" s="396"/>
      <c r="F82" s="396"/>
    </row>
    <row r="83" spans="1:6" ht="21.75" customHeight="1">
      <c r="A83" s="422">
        <f t="shared" si="1"/>
        <v>76</v>
      </c>
      <c r="B83" s="394" t="s">
        <v>784</v>
      </c>
      <c r="C83" s="393" t="s">
        <v>51</v>
      </c>
      <c r="D83" s="395">
        <v>1</v>
      </c>
      <c r="E83" s="396"/>
      <c r="F83" s="396"/>
    </row>
    <row r="84" spans="1:6" ht="21.75" customHeight="1">
      <c r="A84" s="422">
        <f t="shared" si="1"/>
        <v>77</v>
      </c>
      <c r="B84" s="394" t="s">
        <v>785</v>
      </c>
      <c r="C84" s="393" t="s">
        <v>51</v>
      </c>
      <c r="D84" s="395">
        <v>1</v>
      </c>
      <c r="E84" s="396"/>
      <c r="F84" s="396"/>
    </row>
    <row r="85" spans="1:6" ht="21.75" customHeight="1">
      <c r="A85" s="422">
        <f t="shared" si="1"/>
        <v>78</v>
      </c>
      <c r="B85" s="394" t="s">
        <v>786</v>
      </c>
      <c r="C85" s="393" t="s">
        <v>51</v>
      </c>
      <c r="D85" s="395">
        <v>1</v>
      </c>
      <c r="E85" s="396"/>
      <c r="F85" s="396"/>
    </row>
    <row r="86" spans="1:6" ht="21.75" customHeight="1">
      <c r="A86" s="422">
        <f t="shared" si="1"/>
        <v>79</v>
      </c>
      <c r="B86" s="394" t="s">
        <v>787</v>
      </c>
      <c r="C86" s="393" t="s">
        <v>771</v>
      </c>
      <c r="D86" s="395">
        <v>1</v>
      </c>
      <c r="E86" s="396"/>
      <c r="F86" s="396"/>
    </row>
    <row r="87" spans="1:6" ht="21.75" customHeight="1">
      <c r="A87" s="422">
        <f t="shared" si="1"/>
        <v>80</v>
      </c>
      <c r="B87" s="394" t="s">
        <v>788</v>
      </c>
      <c r="C87" s="393" t="s">
        <v>51</v>
      </c>
      <c r="D87" s="395">
        <v>1</v>
      </c>
      <c r="E87" s="396"/>
      <c r="F87" s="396"/>
    </row>
    <row r="88" spans="1:6" ht="21.75" customHeight="1">
      <c r="A88" s="422">
        <f t="shared" si="1"/>
        <v>81</v>
      </c>
      <c r="B88" s="394" t="s">
        <v>789</v>
      </c>
      <c r="C88" s="393" t="s">
        <v>51</v>
      </c>
      <c r="D88" s="395">
        <v>7</v>
      </c>
      <c r="E88" s="396"/>
      <c r="F88" s="396"/>
    </row>
    <row r="89" spans="1:6" ht="21.75" customHeight="1">
      <c r="A89" s="422">
        <f t="shared" si="1"/>
        <v>82</v>
      </c>
      <c r="B89" s="394" t="s">
        <v>790</v>
      </c>
      <c r="C89" s="393" t="s">
        <v>711</v>
      </c>
      <c r="D89" s="395">
        <v>20</v>
      </c>
      <c r="E89" s="396"/>
      <c r="F89" s="396"/>
    </row>
    <row r="90" spans="1:6" ht="21.75" customHeight="1">
      <c r="A90" s="422">
        <f t="shared" si="1"/>
        <v>83</v>
      </c>
      <c r="B90" s="394" t="s">
        <v>791</v>
      </c>
      <c r="C90" s="393" t="s">
        <v>771</v>
      </c>
      <c r="D90" s="395">
        <v>1</v>
      </c>
      <c r="E90" s="396"/>
      <c r="F90" s="396"/>
    </row>
    <row r="91" spans="1:6" ht="21.75" customHeight="1">
      <c r="A91" s="422">
        <f t="shared" si="1"/>
        <v>84</v>
      </c>
      <c r="B91" s="394" t="s">
        <v>792</v>
      </c>
      <c r="C91" s="393" t="s">
        <v>771</v>
      </c>
      <c r="D91" s="395">
        <v>1</v>
      </c>
      <c r="E91" s="396"/>
      <c r="F91" s="396"/>
    </row>
    <row r="92" spans="1:6" ht="21.75" customHeight="1">
      <c r="A92" s="422">
        <f t="shared" si="1"/>
        <v>85</v>
      </c>
      <c r="B92" s="394" t="s">
        <v>793</v>
      </c>
      <c r="C92" s="393" t="s">
        <v>794</v>
      </c>
      <c r="D92" s="395">
        <v>1</v>
      </c>
      <c r="E92" s="396"/>
      <c r="F92" s="396"/>
    </row>
    <row r="93" spans="1:6" ht="21.75" customHeight="1">
      <c r="A93" s="422">
        <f t="shared" si="1"/>
        <v>86</v>
      </c>
      <c r="B93" s="394" t="s">
        <v>795</v>
      </c>
      <c r="C93" s="393" t="s">
        <v>51</v>
      </c>
      <c r="D93" s="395">
        <v>2</v>
      </c>
      <c r="E93" s="396"/>
      <c r="F93" s="396"/>
    </row>
    <row r="94" spans="1:6" ht="21.75" customHeight="1">
      <c r="A94" s="422">
        <f t="shared" si="1"/>
        <v>87</v>
      </c>
      <c r="B94" s="394" t="s">
        <v>796</v>
      </c>
      <c r="C94" s="393" t="s">
        <v>771</v>
      </c>
      <c r="D94" s="395">
        <v>2</v>
      </c>
      <c r="E94" s="396"/>
      <c r="F94" s="396"/>
    </row>
    <row r="95" spans="1:6" ht="21.75" customHeight="1">
      <c r="A95" s="422">
        <f t="shared" si="1"/>
        <v>88</v>
      </c>
      <c r="B95" s="394" t="s">
        <v>797</v>
      </c>
      <c r="C95" s="393" t="s">
        <v>771</v>
      </c>
      <c r="D95" s="395">
        <v>1</v>
      </c>
      <c r="E95" s="396"/>
      <c r="F95" s="396"/>
    </row>
    <row r="96" spans="1:6" ht="21.75" customHeight="1">
      <c r="A96" s="422">
        <f t="shared" si="1"/>
        <v>89</v>
      </c>
      <c r="B96" s="394" t="s">
        <v>798</v>
      </c>
      <c r="C96" s="393" t="s">
        <v>51</v>
      </c>
      <c r="D96" s="395">
        <v>1</v>
      </c>
      <c r="E96" s="396"/>
      <c r="F96" s="396"/>
    </row>
    <row r="97" spans="1:6" ht="21.75" customHeight="1">
      <c r="A97" s="422">
        <f t="shared" si="1"/>
        <v>90</v>
      </c>
      <c r="B97" s="394" t="s">
        <v>983</v>
      </c>
      <c r="C97" s="393" t="s">
        <v>51</v>
      </c>
      <c r="D97" s="395">
        <v>1</v>
      </c>
      <c r="E97" s="396"/>
      <c r="F97" s="396"/>
    </row>
    <row r="98" spans="1:6" ht="21.75" customHeight="1">
      <c r="A98" s="422">
        <f t="shared" si="1"/>
        <v>91</v>
      </c>
      <c r="B98" s="394" t="s">
        <v>984</v>
      </c>
      <c r="C98" s="393" t="s">
        <v>51</v>
      </c>
      <c r="D98" s="395">
        <v>1</v>
      </c>
      <c r="E98" s="396"/>
      <c r="F98" s="396"/>
    </row>
    <row r="99" spans="1:6" ht="21.75" customHeight="1">
      <c r="A99" s="422">
        <f t="shared" si="1"/>
        <v>92</v>
      </c>
      <c r="B99" s="394" t="s">
        <v>801</v>
      </c>
      <c r="C99" s="393" t="s">
        <v>771</v>
      </c>
      <c r="D99" s="395">
        <v>2</v>
      </c>
      <c r="E99" s="396"/>
      <c r="F99" s="396"/>
    </row>
    <row r="100" spans="1:6" ht="21.75" customHeight="1">
      <c r="A100" s="422">
        <f t="shared" si="1"/>
        <v>93</v>
      </c>
      <c r="B100" s="394" t="s">
        <v>802</v>
      </c>
      <c r="C100" s="393" t="s">
        <v>51</v>
      </c>
      <c r="D100" s="395">
        <v>3</v>
      </c>
      <c r="E100" s="396"/>
      <c r="F100" s="396"/>
    </row>
    <row r="101" spans="1:6" ht="21.75" customHeight="1">
      <c r="A101" s="422">
        <f t="shared" si="1"/>
        <v>94</v>
      </c>
      <c r="B101" s="394" t="s">
        <v>803</v>
      </c>
      <c r="C101" s="393" t="s">
        <v>51</v>
      </c>
      <c r="D101" s="395">
        <v>1</v>
      </c>
      <c r="E101" s="396"/>
      <c r="F101" s="396"/>
    </row>
    <row r="102" spans="1:6" ht="21.75" customHeight="1">
      <c r="A102" s="422">
        <f t="shared" si="1"/>
        <v>95</v>
      </c>
      <c r="B102" s="394" t="s">
        <v>804</v>
      </c>
      <c r="C102" s="393" t="s">
        <v>51</v>
      </c>
      <c r="D102" s="395">
        <v>1</v>
      </c>
      <c r="E102" s="396"/>
      <c r="F102" s="396"/>
    </row>
    <row r="103" spans="1:6" ht="21.75" customHeight="1">
      <c r="A103" s="422">
        <f t="shared" si="1"/>
        <v>96</v>
      </c>
      <c r="B103" s="394" t="s">
        <v>805</v>
      </c>
      <c r="C103" s="393" t="s">
        <v>51</v>
      </c>
      <c r="D103" s="395">
        <v>2</v>
      </c>
      <c r="E103" s="396"/>
      <c r="F103" s="396"/>
    </row>
    <row r="104" spans="1:6" ht="21.75" customHeight="1">
      <c r="A104" s="422">
        <f t="shared" si="1"/>
        <v>97</v>
      </c>
      <c r="B104" s="394" t="s">
        <v>806</v>
      </c>
      <c r="C104" s="393" t="s">
        <v>771</v>
      </c>
      <c r="D104" s="395">
        <v>2</v>
      </c>
      <c r="E104" s="396"/>
      <c r="F104" s="396"/>
    </row>
    <row r="105" spans="1:6" ht="21.75" customHeight="1">
      <c r="A105" s="422">
        <f t="shared" si="1"/>
        <v>98</v>
      </c>
      <c r="B105" s="394" t="s">
        <v>807</v>
      </c>
      <c r="C105" s="393" t="s">
        <v>51</v>
      </c>
      <c r="D105" s="395">
        <v>1</v>
      </c>
      <c r="E105" s="396"/>
      <c r="F105" s="396"/>
    </row>
    <row r="106" spans="1:6" ht="21.75" customHeight="1">
      <c r="A106" s="422">
        <f t="shared" si="1"/>
        <v>99</v>
      </c>
      <c r="B106" s="394" t="s">
        <v>808</v>
      </c>
      <c r="C106" s="393" t="s">
        <v>771</v>
      </c>
      <c r="D106" s="395">
        <v>1</v>
      </c>
      <c r="E106" s="396"/>
      <c r="F106" s="396"/>
    </row>
    <row r="107" spans="1:6" ht="21.75" customHeight="1">
      <c r="A107" s="422">
        <f t="shared" si="1"/>
        <v>100</v>
      </c>
      <c r="B107" s="394" t="s">
        <v>809</v>
      </c>
      <c r="C107" s="393" t="s">
        <v>771</v>
      </c>
      <c r="D107" s="395">
        <v>1</v>
      </c>
      <c r="E107" s="396"/>
      <c r="F107" s="396"/>
    </row>
    <row r="108" spans="1:6" ht="21.75" customHeight="1">
      <c r="A108" s="422">
        <f t="shared" si="1"/>
        <v>101</v>
      </c>
      <c r="B108" s="394" t="s">
        <v>810</v>
      </c>
      <c r="C108" s="393" t="s">
        <v>51</v>
      </c>
      <c r="D108" s="395">
        <v>3</v>
      </c>
      <c r="E108" s="396"/>
      <c r="F108" s="396"/>
    </row>
    <row r="109" spans="1:6" ht="21.75" customHeight="1">
      <c r="A109" s="422">
        <f t="shared" si="1"/>
        <v>102</v>
      </c>
      <c r="B109" s="394" t="s">
        <v>811</v>
      </c>
      <c r="C109" s="393" t="s">
        <v>51</v>
      </c>
      <c r="D109" s="395">
        <v>5</v>
      </c>
      <c r="E109" s="396"/>
      <c r="F109" s="396"/>
    </row>
    <row r="110" spans="1:6" ht="21.75" customHeight="1">
      <c r="A110" s="422">
        <f t="shared" si="1"/>
        <v>103</v>
      </c>
      <c r="B110" s="394" t="s">
        <v>812</v>
      </c>
      <c r="C110" s="393" t="s">
        <v>813</v>
      </c>
      <c r="D110" s="395">
        <v>1</v>
      </c>
      <c r="E110" s="396"/>
      <c r="F110" s="396"/>
    </row>
    <row r="111" spans="1:6" ht="21.75" customHeight="1">
      <c r="A111" s="422">
        <f t="shared" si="1"/>
        <v>104</v>
      </c>
      <c r="B111" s="394" t="s">
        <v>814</v>
      </c>
      <c r="C111" s="393" t="s">
        <v>771</v>
      </c>
      <c r="D111" s="395">
        <v>1</v>
      </c>
      <c r="E111" s="396"/>
      <c r="F111" s="396"/>
    </row>
    <row r="112" spans="1:6" s="398" customFormat="1" ht="22.5" customHeight="1">
      <c r="A112" s="422">
        <f>A111+1</f>
        <v>105</v>
      </c>
      <c r="B112" s="401" t="s">
        <v>677</v>
      </c>
      <c r="C112" s="393" t="s">
        <v>667</v>
      </c>
      <c r="D112" s="402">
        <v>1</v>
      </c>
      <c r="E112" s="403"/>
      <c r="F112" s="396"/>
    </row>
    <row r="113" spans="1:6" s="398" customFormat="1" ht="20.25" customHeight="1">
      <c r="A113" s="404"/>
      <c r="B113" s="404" t="s">
        <v>407</v>
      </c>
      <c r="C113" s="404"/>
      <c r="D113" s="405"/>
      <c r="E113" s="406"/>
      <c r="F113" s="407">
        <f>SUM(F8:F112)</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7"/>
  <sheetViews>
    <sheetView topLeftCell="A21"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6" s="199" customFormat="1" ht="32.25" customHeight="1">
      <c r="A1" s="231" t="str">
        <f>'N3-5'!A1:F1</f>
        <v>yazbegis, aragvis, fSav-xevsureTisa da TuSeTis dacul teritoriebze arsebuli 7 qoxis saxarjTaRricxvo dokumentacia.</v>
      </c>
      <c r="B1" s="198"/>
      <c r="C1" s="198"/>
      <c r="D1" s="198"/>
      <c r="E1" s="198"/>
      <c r="F1" s="198"/>
    </row>
    <row r="2" spans="1:6" s="376" customFormat="1" ht="13.5" customHeight="1">
      <c r="A2" s="375" t="s">
        <v>664</v>
      </c>
      <c r="B2" s="375"/>
      <c r="C2" s="375"/>
      <c r="D2" s="375"/>
      <c r="E2" s="375"/>
      <c r="F2" s="375"/>
    </row>
    <row r="3" spans="1:6" s="376" customFormat="1" ht="19.5" customHeight="1">
      <c r="A3" s="330" t="s">
        <v>945</v>
      </c>
      <c r="B3" s="330"/>
      <c r="C3" s="330"/>
      <c r="D3" s="330"/>
      <c r="E3" s="330"/>
      <c r="F3" s="330"/>
    </row>
    <row r="4" spans="1:6" s="335" customFormat="1" ht="20.25" customHeight="1">
      <c r="A4" s="377" t="s">
        <v>985</v>
      </c>
      <c r="B4" s="377"/>
      <c r="C4" s="377"/>
      <c r="D4" s="377"/>
      <c r="E4" s="377"/>
      <c r="F4" s="377"/>
    </row>
    <row r="5" spans="1:6" s="199" customFormat="1" ht="19.5" customHeight="1" thickBot="1">
      <c r="A5" s="379" t="s">
        <v>516</v>
      </c>
      <c r="B5" s="379"/>
      <c r="C5" s="379"/>
      <c r="D5" s="379"/>
      <c r="E5" s="379"/>
      <c r="F5" s="379"/>
    </row>
    <row r="6" spans="1:6" ht="87.6" customHeight="1">
      <c r="A6" s="381" t="s">
        <v>523</v>
      </c>
      <c r="B6" s="382" t="s">
        <v>524</v>
      </c>
      <c r="C6" s="383" t="s">
        <v>525</v>
      </c>
      <c r="D6" s="384" t="s">
        <v>411</v>
      </c>
      <c r="E6" s="385" t="s">
        <v>526</v>
      </c>
      <c r="F6" s="386" t="s">
        <v>527</v>
      </c>
    </row>
    <row r="7" spans="1:6">
      <c r="A7" s="411">
        <v>1</v>
      </c>
      <c r="B7" s="411">
        <v>2</v>
      </c>
      <c r="C7" s="412">
        <v>3</v>
      </c>
      <c r="D7" s="413" t="s">
        <v>488</v>
      </c>
      <c r="E7" s="414" t="s">
        <v>513</v>
      </c>
      <c r="F7" s="413" t="s">
        <v>515</v>
      </c>
    </row>
    <row r="8" spans="1:6" s="397" customFormat="1" ht="18.75" customHeight="1">
      <c r="A8" s="393" t="s">
        <v>5</v>
      </c>
      <c r="B8" s="394" t="s">
        <v>816</v>
      </c>
      <c r="C8" s="393" t="s">
        <v>667</v>
      </c>
      <c r="D8" s="395">
        <v>1</v>
      </c>
      <c r="E8" s="396"/>
      <c r="F8" s="396"/>
    </row>
    <row r="9" spans="1:6" s="397" customFormat="1" ht="18.75" customHeight="1">
      <c r="A9" s="393" t="s">
        <v>7</v>
      </c>
      <c r="B9" s="394" t="s">
        <v>676</v>
      </c>
      <c r="C9" s="393" t="s">
        <v>667</v>
      </c>
      <c r="D9" s="395">
        <v>1</v>
      </c>
      <c r="E9" s="396"/>
      <c r="F9" s="396"/>
    </row>
    <row r="10" spans="1:6" s="398" customFormat="1" ht="18.75" customHeight="1">
      <c r="A10" s="393" t="s">
        <v>487</v>
      </c>
      <c r="B10" s="394" t="s">
        <v>817</v>
      </c>
      <c r="C10" s="393" t="s">
        <v>667</v>
      </c>
      <c r="D10" s="395">
        <v>10</v>
      </c>
      <c r="E10" s="396"/>
      <c r="F10" s="396"/>
    </row>
    <row r="11" spans="1:6" s="397" customFormat="1" ht="42" customHeight="1">
      <c r="A11" s="422">
        <f t="shared" ref="A11:A26" si="0">A10+1</f>
        <v>4</v>
      </c>
      <c r="B11" s="394" t="s">
        <v>818</v>
      </c>
      <c r="C11" s="393" t="s">
        <v>667</v>
      </c>
      <c r="D11" s="395">
        <v>10</v>
      </c>
      <c r="E11" s="396"/>
      <c r="F11" s="396"/>
    </row>
    <row r="12" spans="1:6" s="397" customFormat="1" ht="31.5" customHeight="1">
      <c r="A12" s="422">
        <f t="shared" si="0"/>
        <v>5</v>
      </c>
      <c r="B12" s="394" t="s">
        <v>986</v>
      </c>
      <c r="C12" s="393" t="s">
        <v>667</v>
      </c>
      <c r="D12" s="395">
        <v>1</v>
      </c>
      <c r="E12" s="396"/>
      <c r="F12" s="396"/>
    </row>
    <row r="13" spans="1:6" s="398" customFormat="1" ht="31.5" customHeight="1">
      <c r="A13" s="422">
        <f t="shared" si="0"/>
        <v>6</v>
      </c>
      <c r="B13" s="394" t="s">
        <v>987</v>
      </c>
      <c r="C13" s="393" t="s">
        <v>667</v>
      </c>
      <c r="D13" s="395">
        <v>1</v>
      </c>
      <c r="E13" s="396"/>
      <c r="F13" s="396"/>
    </row>
    <row r="14" spans="1:6" s="397" customFormat="1" ht="31.5" customHeight="1">
      <c r="A14" s="422">
        <f t="shared" si="0"/>
        <v>7</v>
      </c>
      <c r="B14" s="394" t="s">
        <v>821</v>
      </c>
      <c r="C14" s="393" t="s">
        <v>667</v>
      </c>
      <c r="D14" s="395">
        <v>2</v>
      </c>
      <c r="E14" s="396"/>
      <c r="F14" s="396"/>
    </row>
    <row r="15" spans="1:6" s="398" customFormat="1" ht="31.5" customHeight="1">
      <c r="A15" s="422">
        <f t="shared" si="0"/>
        <v>8</v>
      </c>
      <c r="B15" s="394" t="s">
        <v>822</v>
      </c>
      <c r="C15" s="393" t="s">
        <v>667</v>
      </c>
      <c r="D15" s="395">
        <v>5</v>
      </c>
      <c r="E15" s="396"/>
      <c r="F15" s="396"/>
    </row>
    <row r="16" spans="1:6" s="398" customFormat="1" ht="31.5" customHeight="1">
      <c r="A16" s="422">
        <f t="shared" si="0"/>
        <v>9</v>
      </c>
      <c r="B16" s="394" t="s">
        <v>988</v>
      </c>
      <c r="C16" s="393" t="s">
        <v>824</v>
      </c>
      <c r="D16" s="395">
        <v>100</v>
      </c>
      <c r="E16" s="396"/>
      <c r="F16" s="396"/>
    </row>
    <row r="17" spans="1:6" s="398" customFormat="1" ht="31.5" customHeight="1">
      <c r="A17" s="422">
        <f t="shared" si="0"/>
        <v>10</v>
      </c>
      <c r="B17" s="394" t="s">
        <v>989</v>
      </c>
      <c r="C17" s="393" t="s">
        <v>824</v>
      </c>
      <c r="D17" s="395">
        <v>40</v>
      </c>
      <c r="E17" s="396"/>
      <c r="F17" s="396"/>
    </row>
    <row r="18" spans="1:6" s="398" customFormat="1" ht="21.75" customHeight="1">
      <c r="A18" s="422">
        <f t="shared" si="0"/>
        <v>11</v>
      </c>
      <c r="B18" s="394" t="s">
        <v>826</v>
      </c>
      <c r="C18" s="393"/>
      <c r="D18" s="395">
        <v>2</v>
      </c>
      <c r="E18" s="396"/>
      <c r="F18" s="396"/>
    </row>
    <row r="19" spans="1:6" ht="21.75" customHeight="1">
      <c r="A19" s="422">
        <f t="shared" si="0"/>
        <v>12</v>
      </c>
      <c r="B19" s="394" t="s">
        <v>990</v>
      </c>
      <c r="C19" s="393" t="s">
        <v>667</v>
      </c>
      <c r="D19" s="395">
        <v>1</v>
      </c>
      <c r="E19" s="396"/>
      <c r="F19" s="396"/>
    </row>
    <row r="20" spans="1:6" ht="21.75" customHeight="1">
      <c r="A20" s="422">
        <f t="shared" si="0"/>
        <v>13</v>
      </c>
      <c r="B20" s="394" t="s">
        <v>828</v>
      </c>
      <c r="C20" s="393" t="s">
        <v>667</v>
      </c>
      <c r="D20" s="395">
        <v>1</v>
      </c>
      <c r="E20" s="396"/>
      <c r="F20" s="396"/>
    </row>
    <row r="21" spans="1:6" ht="33" customHeight="1">
      <c r="A21" s="422">
        <f t="shared" si="0"/>
        <v>14</v>
      </c>
      <c r="B21" s="394" t="s">
        <v>829</v>
      </c>
      <c r="C21" s="393" t="s">
        <v>674</v>
      </c>
      <c r="D21" s="395">
        <v>1</v>
      </c>
      <c r="E21" s="396"/>
      <c r="F21" s="396"/>
    </row>
    <row r="22" spans="1:6" ht="33" customHeight="1">
      <c r="A22" s="422">
        <f t="shared" si="0"/>
        <v>15</v>
      </c>
      <c r="B22" s="394" t="s">
        <v>830</v>
      </c>
      <c r="C22" s="393" t="s">
        <v>674</v>
      </c>
      <c r="D22" s="395">
        <v>1</v>
      </c>
      <c r="E22" s="396"/>
      <c r="F22" s="396"/>
    </row>
    <row r="23" spans="1:6" ht="33" customHeight="1">
      <c r="A23" s="422">
        <f t="shared" si="0"/>
        <v>16</v>
      </c>
      <c r="B23" s="394" t="s">
        <v>831</v>
      </c>
      <c r="C23" s="393" t="s">
        <v>674</v>
      </c>
      <c r="D23" s="395">
        <v>1</v>
      </c>
      <c r="E23" s="396"/>
      <c r="F23" s="396"/>
    </row>
    <row r="24" spans="1:6" ht="21.75" customHeight="1">
      <c r="A24" s="422">
        <f t="shared" si="0"/>
        <v>17</v>
      </c>
      <c r="B24" s="394" t="s">
        <v>991</v>
      </c>
      <c r="C24" s="393" t="s">
        <v>674</v>
      </c>
      <c r="D24" s="395">
        <v>30</v>
      </c>
      <c r="E24" s="396"/>
      <c r="F24" s="396"/>
    </row>
    <row r="25" spans="1:6" ht="21.75" customHeight="1">
      <c r="A25" s="422">
        <f t="shared" si="0"/>
        <v>18</v>
      </c>
      <c r="B25" s="394" t="s">
        <v>676</v>
      </c>
      <c r="C25" s="393" t="s">
        <v>667</v>
      </c>
      <c r="D25" s="395">
        <v>1</v>
      </c>
      <c r="E25" s="396"/>
      <c r="F25" s="396"/>
    </row>
    <row r="26" spans="1:6" s="398" customFormat="1" ht="22.5" customHeight="1">
      <c r="A26" s="422">
        <f t="shared" si="0"/>
        <v>19</v>
      </c>
      <c r="B26" s="401" t="s">
        <v>677</v>
      </c>
      <c r="C26" s="416" t="s">
        <v>833</v>
      </c>
      <c r="D26" s="402">
        <v>1</v>
      </c>
      <c r="E26" s="403"/>
      <c r="F26" s="396"/>
    </row>
    <row r="27" spans="1:6" s="398" customFormat="1" ht="20.25" customHeight="1">
      <c r="A27" s="404"/>
      <c r="B27" s="404" t="s">
        <v>407</v>
      </c>
      <c r="C27" s="404"/>
      <c r="D27" s="405"/>
      <c r="E27" s="406"/>
      <c r="F27" s="407">
        <f>SUM(F8:F26)</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5"/>
  <sheetViews>
    <sheetView topLeftCell="A18"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6" s="199" customFormat="1" ht="32.25" customHeight="1">
      <c r="A1" s="231" t="str">
        <f>'N3-6'!A1:F1</f>
        <v>yazbegis, aragvis, fSav-xevsureTisa da TuSeTis dacul teritoriebze arsebuli 7 qoxis saxarjTaRricxvo dokumentacia.</v>
      </c>
      <c r="B1" s="198"/>
      <c r="C1" s="198"/>
      <c r="D1" s="198"/>
      <c r="E1" s="198"/>
      <c r="F1" s="198"/>
    </row>
    <row r="2" spans="1:6" s="376" customFormat="1" ht="13.5" customHeight="1">
      <c r="A2" s="375" t="s">
        <v>664</v>
      </c>
      <c r="B2" s="375"/>
      <c r="C2" s="375"/>
      <c r="D2" s="375"/>
      <c r="E2" s="375"/>
      <c r="F2" s="375"/>
    </row>
    <row r="3" spans="1:6" s="376" customFormat="1" ht="19.5" customHeight="1">
      <c r="A3" s="330" t="s">
        <v>945</v>
      </c>
      <c r="B3" s="330"/>
      <c r="C3" s="330"/>
      <c r="D3" s="330"/>
      <c r="E3" s="330"/>
      <c r="F3" s="330"/>
    </row>
    <row r="4" spans="1:6" s="335" customFormat="1" ht="20.25" customHeight="1">
      <c r="A4" s="377" t="s">
        <v>992</v>
      </c>
      <c r="B4" s="377"/>
      <c r="C4" s="377"/>
      <c r="D4" s="377"/>
      <c r="E4" s="377"/>
      <c r="F4" s="377"/>
    </row>
    <row r="5" spans="1:6" s="199" customFormat="1" ht="19.5" customHeight="1" thickBot="1">
      <c r="A5" s="379" t="s">
        <v>517</v>
      </c>
      <c r="B5" s="379"/>
      <c r="C5" s="379"/>
      <c r="D5" s="379"/>
      <c r="E5" s="379"/>
      <c r="F5" s="379"/>
    </row>
    <row r="6" spans="1:6" ht="87.6" customHeight="1" thickBot="1">
      <c r="A6" s="381" t="s">
        <v>523</v>
      </c>
      <c r="B6" s="382" t="s">
        <v>524</v>
      </c>
      <c r="C6" s="383" t="s">
        <v>525</v>
      </c>
      <c r="D6" s="384" t="s">
        <v>411</v>
      </c>
      <c r="E6" s="385" t="s">
        <v>526</v>
      </c>
      <c r="F6" s="386" t="s">
        <v>527</v>
      </c>
    </row>
    <row r="7" spans="1:6" ht="16.5" thickBot="1">
      <c r="A7" s="387">
        <v>1</v>
      </c>
      <c r="B7" s="388">
        <v>2</v>
      </c>
      <c r="C7" s="389">
        <v>3</v>
      </c>
      <c r="D7" s="390" t="s">
        <v>488</v>
      </c>
      <c r="E7" s="391" t="s">
        <v>513</v>
      </c>
      <c r="F7" s="392" t="s">
        <v>515</v>
      </c>
    </row>
    <row r="8" spans="1:6" s="397" customFormat="1" ht="36.75" customHeight="1">
      <c r="A8" s="393" t="s">
        <v>5</v>
      </c>
      <c r="B8" s="394" t="s">
        <v>993</v>
      </c>
      <c r="C8" s="393" t="s">
        <v>667</v>
      </c>
      <c r="D8" s="395">
        <v>1</v>
      </c>
      <c r="E8" s="396"/>
      <c r="F8" s="396"/>
    </row>
    <row r="9" spans="1:6" s="397" customFormat="1" ht="53.25" customHeight="1">
      <c r="A9" s="393" t="s">
        <v>7</v>
      </c>
      <c r="B9" s="394" t="s">
        <v>936</v>
      </c>
      <c r="C9" s="393" t="s">
        <v>824</v>
      </c>
      <c r="D9" s="395">
        <v>300</v>
      </c>
      <c r="E9" s="396"/>
      <c r="F9" s="396"/>
    </row>
    <row r="10" spans="1:6" s="398" customFormat="1" ht="25.5">
      <c r="A10" s="393" t="s">
        <v>487</v>
      </c>
      <c r="B10" s="394" t="s">
        <v>937</v>
      </c>
      <c r="C10" s="393" t="s">
        <v>674</v>
      </c>
      <c r="D10" s="395">
        <v>60</v>
      </c>
      <c r="E10" s="396"/>
      <c r="F10" s="396"/>
    </row>
    <row r="11" spans="1:6" s="397" customFormat="1" ht="30.75" customHeight="1">
      <c r="A11" s="393" t="s">
        <v>488</v>
      </c>
      <c r="B11" s="394" t="s">
        <v>938</v>
      </c>
      <c r="C11" s="393" t="s">
        <v>824</v>
      </c>
      <c r="D11" s="395">
        <v>40</v>
      </c>
      <c r="E11" s="396"/>
      <c r="F11" s="396"/>
    </row>
    <row r="12" spans="1:6" s="398" customFormat="1" ht="52.5" customHeight="1">
      <c r="A12" s="393" t="s">
        <v>513</v>
      </c>
      <c r="B12" s="394" t="s">
        <v>939</v>
      </c>
      <c r="C12" s="393" t="s">
        <v>674</v>
      </c>
      <c r="D12" s="395">
        <v>31</v>
      </c>
      <c r="E12" s="396"/>
      <c r="F12" s="396"/>
    </row>
    <row r="13" spans="1:6" s="398" customFormat="1" ht="54" customHeight="1">
      <c r="A13" s="393" t="s">
        <v>515</v>
      </c>
      <c r="B13" s="394" t="s">
        <v>840</v>
      </c>
      <c r="C13" s="393" t="s">
        <v>674</v>
      </c>
      <c r="D13" s="395">
        <v>7</v>
      </c>
      <c r="E13" s="396"/>
      <c r="F13" s="396"/>
    </row>
    <row r="14" spans="1:6" s="398" customFormat="1" ht="54" customHeight="1">
      <c r="A14" s="393" t="s">
        <v>675</v>
      </c>
      <c r="B14" s="394" t="s">
        <v>841</v>
      </c>
      <c r="C14" s="393" t="s">
        <v>674</v>
      </c>
      <c r="D14" s="395">
        <v>15</v>
      </c>
      <c r="E14" s="396"/>
      <c r="F14" s="396"/>
    </row>
    <row r="15" spans="1:6" s="398" customFormat="1" ht="54" customHeight="1">
      <c r="A15" s="393" t="s">
        <v>686</v>
      </c>
      <c r="B15" s="394" t="s">
        <v>842</v>
      </c>
      <c r="C15" s="393" t="s">
        <v>674</v>
      </c>
      <c r="D15" s="395">
        <v>15</v>
      </c>
      <c r="E15" s="396"/>
      <c r="F15" s="396"/>
    </row>
    <row r="16" spans="1:6" s="398" customFormat="1" ht="54" customHeight="1">
      <c r="A16" s="393" t="s">
        <v>688</v>
      </c>
      <c r="B16" s="394" t="s">
        <v>843</v>
      </c>
      <c r="C16" s="393" t="s">
        <v>674</v>
      </c>
      <c r="D16" s="395">
        <v>3</v>
      </c>
      <c r="E16" s="396"/>
      <c r="F16" s="396"/>
    </row>
    <row r="17" spans="1:6" ht="38.25">
      <c r="A17" s="393" t="s">
        <v>690</v>
      </c>
      <c r="B17" s="394" t="s">
        <v>994</v>
      </c>
      <c r="C17" s="393" t="s">
        <v>824</v>
      </c>
      <c r="D17" s="395">
        <v>300</v>
      </c>
      <c r="E17" s="396"/>
      <c r="F17" s="396"/>
    </row>
    <row r="18" spans="1:6" ht="38.25">
      <c r="A18" s="393" t="s">
        <v>692</v>
      </c>
      <c r="B18" s="394" t="s">
        <v>940</v>
      </c>
      <c r="C18" s="393" t="s">
        <v>824</v>
      </c>
      <c r="D18" s="395">
        <v>350</v>
      </c>
      <c r="E18" s="396"/>
      <c r="F18" s="396"/>
    </row>
    <row r="19" spans="1:6">
      <c r="A19" s="393" t="s">
        <v>694</v>
      </c>
      <c r="B19" s="394" t="s">
        <v>676</v>
      </c>
      <c r="C19" s="393" t="s">
        <v>667</v>
      </c>
      <c r="D19" s="395">
        <v>1</v>
      </c>
      <c r="E19" s="396"/>
      <c r="F19" s="396"/>
    </row>
    <row r="20" spans="1:6" s="398" customFormat="1" ht="22.5" customHeight="1">
      <c r="A20" s="422">
        <f t="shared" ref="A20" si="0">A19+1</f>
        <v>13</v>
      </c>
      <c r="B20" s="401" t="s">
        <v>677</v>
      </c>
      <c r="C20" s="416" t="s">
        <v>833</v>
      </c>
      <c r="D20" s="402">
        <v>1</v>
      </c>
      <c r="E20" s="403"/>
      <c r="F20" s="396"/>
    </row>
    <row r="21" spans="1:6" s="398" customFormat="1" ht="20.25" customHeight="1">
      <c r="A21" s="404"/>
      <c r="B21" s="404" t="s">
        <v>407</v>
      </c>
      <c r="C21" s="404"/>
      <c r="D21" s="405"/>
      <c r="E21" s="406"/>
      <c r="F21" s="407">
        <f>SUM(F8:F20)</f>
        <v>0</v>
      </c>
    </row>
    <row r="25" spans="1:6">
      <c r="F25" s="398"/>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9"/>
  <sheetViews>
    <sheetView topLeftCell="A12"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6" s="199" customFormat="1" ht="32.25" customHeight="1">
      <c r="A1" s="231" t="str">
        <f>'N3-7'!A1:F1</f>
        <v>yazbegis, aragvis, fSav-xevsureTisa da TuSeTis dacul teritoriebze arsebuli 7 qoxis saxarjTaRricxvo dokumentacia.</v>
      </c>
      <c r="B1" s="198"/>
      <c r="C1" s="198"/>
      <c r="D1" s="198"/>
      <c r="E1" s="198"/>
      <c r="F1" s="198"/>
    </row>
    <row r="2" spans="1:6" s="376" customFormat="1" ht="13.5" customHeight="1">
      <c r="A2" s="375" t="s">
        <v>664</v>
      </c>
      <c r="B2" s="375"/>
      <c r="C2" s="375"/>
      <c r="D2" s="375"/>
      <c r="E2" s="375"/>
      <c r="F2" s="375"/>
    </row>
    <row r="3" spans="1:6" s="376" customFormat="1" ht="19.5" customHeight="1">
      <c r="A3" s="330" t="s">
        <v>945</v>
      </c>
      <c r="B3" s="330"/>
      <c r="C3" s="330"/>
      <c r="D3" s="330"/>
      <c r="E3" s="330"/>
      <c r="F3" s="330"/>
    </row>
    <row r="4" spans="1:6" s="335" customFormat="1" ht="20.25" customHeight="1">
      <c r="A4" s="377" t="s">
        <v>995</v>
      </c>
      <c r="B4" s="377"/>
      <c r="C4" s="377"/>
      <c r="D4" s="377"/>
      <c r="E4" s="377"/>
      <c r="F4" s="377"/>
    </row>
    <row r="5" spans="1:6" s="199" customFormat="1" ht="19.5" customHeight="1" thickBot="1">
      <c r="A5" s="379" t="s">
        <v>847</v>
      </c>
      <c r="B5" s="379"/>
      <c r="C5" s="379"/>
      <c r="D5" s="379"/>
      <c r="E5" s="379"/>
      <c r="F5" s="379"/>
    </row>
    <row r="6" spans="1:6" ht="87.6" customHeight="1" thickBot="1">
      <c r="A6" s="381" t="s">
        <v>523</v>
      </c>
      <c r="B6" s="382" t="s">
        <v>524</v>
      </c>
      <c r="C6" s="383" t="s">
        <v>525</v>
      </c>
      <c r="D6" s="384" t="s">
        <v>411</v>
      </c>
      <c r="E6" s="385" t="s">
        <v>526</v>
      </c>
      <c r="F6" s="386" t="s">
        <v>527</v>
      </c>
    </row>
    <row r="7" spans="1:6" ht="16.5" thickBot="1">
      <c r="A7" s="387">
        <v>1</v>
      </c>
      <c r="B7" s="388">
        <v>2</v>
      </c>
      <c r="C7" s="389">
        <v>3</v>
      </c>
      <c r="D7" s="390" t="s">
        <v>488</v>
      </c>
      <c r="E7" s="391" t="s">
        <v>513</v>
      </c>
      <c r="F7" s="392" t="s">
        <v>515</v>
      </c>
    </row>
    <row r="8" spans="1:6" s="397" customFormat="1" ht="36.75" customHeight="1">
      <c r="A8" s="393" t="s">
        <v>5</v>
      </c>
      <c r="B8" s="394" t="s">
        <v>848</v>
      </c>
      <c r="C8" s="393" t="s">
        <v>674</v>
      </c>
      <c r="D8" s="395">
        <v>1</v>
      </c>
      <c r="E8" s="396"/>
      <c r="F8" s="396"/>
    </row>
    <row r="9" spans="1:6" s="397" customFormat="1" ht="53.25" customHeight="1">
      <c r="A9" s="393" t="s">
        <v>7</v>
      </c>
      <c r="B9" s="394" t="s">
        <v>849</v>
      </c>
      <c r="C9" s="393" t="s">
        <v>674</v>
      </c>
      <c r="D9" s="395">
        <v>2</v>
      </c>
      <c r="E9" s="396"/>
      <c r="F9" s="396"/>
    </row>
    <row r="10" spans="1:6" s="398" customFormat="1" ht="76.5">
      <c r="A10" s="393" t="s">
        <v>487</v>
      </c>
      <c r="B10" s="394" t="s">
        <v>850</v>
      </c>
      <c r="C10" s="393" t="s">
        <v>674</v>
      </c>
      <c r="D10" s="395">
        <v>3</v>
      </c>
      <c r="E10" s="396"/>
      <c r="F10" s="396"/>
    </row>
    <row r="11" spans="1:6" s="397" customFormat="1" ht="31.5" customHeight="1">
      <c r="A11" s="393" t="s">
        <v>488</v>
      </c>
      <c r="B11" s="394" t="s">
        <v>851</v>
      </c>
      <c r="C11" s="393" t="s">
        <v>824</v>
      </c>
      <c r="D11" s="395">
        <v>50</v>
      </c>
      <c r="E11" s="396"/>
      <c r="F11" s="396"/>
    </row>
    <row r="12" spans="1:6" s="398" customFormat="1" ht="31.5" customHeight="1">
      <c r="A12" s="393" t="s">
        <v>513</v>
      </c>
      <c r="B12" s="394" t="s">
        <v>852</v>
      </c>
      <c r="C12" s="393" t="s">
        <v>674</v>
      </c>
      <c r="D12" s="395">
        <v>10</v>
      </c>
      <c r="E12" s="396"/>
      <c r="F12" s="396"/>
    </row>
    <row r="13" spans="1:6" s="398" customFormat="1" ht="31.5" customHeight="1">
      <c r="A13" s="393" t="s">
        <v>515</v>
      </c>
      <c r="B13" s="394" t="s">
        <v>853</v>
      </c>
      <c r="C13" s="393" t="s">
        <v>824</v>
      </c>
      <c r="D13" s="395">
        <v>36</v>
      </c>
      <c r="E13" s="396"/>
      <c r="F13" s="396"/>
    </row>
    <row r="14" spans="1:6" s="398" customFormat="1" ht="31.5" customHeight="1">
      <c r="A14" s="393" t="s">
        <v>675</v>
      </c>
      <c r="B14" s="394" t="s">
        <v>854</v>
      </c>
      <c r="C14" s="393" t="s">
        <v>667</v>
      </c>
      <c r="D14" s="395">
        <v>1</v>
      </c>
      <c r="E14" s="396"/>
      <c r="F14" s="396"/>
    </row>
    <row r="15" spans="1:6" s="398" customFormat="1" ht="31.5" customHeight="1">
      <c r="A15" s="393" t="s">
        <v>686</v>
      </c>
      <c r="B15" s="394" t="s">
        <v>996</v>
      </c>
      <c r="C15" s="393" t="s">
        <v>667</v>
      </c>
      <c r="D15" s="395">
        <v>1</v>
      </c>
      <c r="E15" s="396"/>
      <c r="F15" s="396"/>
    </row>
    <row r="16" spans="1:6" s="398" customFormat="1" ht="31.5" customHeight="1">
      <c r="A16" s="393" t="s">
        <v>688</v>
      </c>
      <c r="B16" s="394" t="s">
        <v>856</v>
      </c>
      <c r="C16" s="393" t="s">
        <v>667</v>
      </c>
      <c r="D16" s="395">
        <v>1</v>
      </c>
      <c r="E16" s="396"/>
      <c r="F16" s="396"/>
    </row>
    <row r="17" spans="1:6">
      <c r="A17" s="393" t="s">
        <v>690</v>
      </c>
      <c r="B17" s="394" t="s">
        <v>854</v>
      </c>
      <c r="C17" s="393" t="s">
        <v>667</v>
      </c>
      <c r="D17" s="395">
        <v>1</v>
      </c>
      <c r="E17" s="396"/>
      <c r="F17" s="396"/>
    </row>
    <row r="18" spans="1:6" s="398" customFormat="1" ht="22.5" customHeight="1">
      <c r="A18" s="393" t="s">
        <v>692</v>
      </c>
      <c r="B18" s="401" t="s">
        <v>702</v>
      </c>
      <c r="C18" s="393" t="s">
        <v>667</v>
      </c>
      <c r="D18" s="402">
        <v>1</v>
      </c>
      <c r="E18" s="403"/>
      <c r="F18" s="396"/>
    </row>
    <row r="19" spans="1:6" s="398" customFormat="1" ht="20.25" customHeight="1">
      <c r="A19" s="404"/>
      <c r="B19" s="404" t="s">
        <v>407</v>
      </c>
      <c r="C19" s="404"/>
      <c r="D19" s="405"/>
      <c r="E19" s="406"/>
      <c r="F19" s="407">
        <f>SUM(F8:F18)</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C3" workbookViewId="0">
      <selection activeCell="E18" sqref="E18"/>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148</v>
      </c>
      <c r="B3" s="64"/>
      <c r="C3" s="64"/>
      <c r="D3" s="64"/>
      <c r="E3" s="64"/>
      <c r="F3" s="64"/>
    </row>
    <row r="4" spans="1:6">
      <c r="A4" s="63" t="s">
        <v>48</v>
      </c>
      <c r="B4" s="64"/>
      <c r="C4" s="64"/>
      <c r="D4" s="64"/>
      <c r="E4" s="64"/>
      <c r="F4" s="64"/>
    </row>
    <row r="5" spans="1:6">
      <c r="A5" s="65" t="s">
        <v>149</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2</v>
      </c>
      <c r="E7" s="3"/>
      <c r="F7" s="12"/>
    </row>
    <row r="8" spans="1:6">
      <c r="A8" s="3">
        <v>2</v>
      </c>
      <c r="B8" s="18" t="s">
        <v>113</v>
      </c>
      <c r="C8" s="3" t="s">
        <v>47</v>
      </c>
      <c r="D8" s="3">
        <v>4</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0.56699999999999995</v>
      </c>
      <c r="E11" s="3"/>
      <c r="F11" s="12"/>
    </row>
    <row r="12" spans="1:6">
      <c r="A12" s="28">
        <v>6</v>
      </c>
      <c r="B12" s="18" t="s">
        <v>123</v>
      </c>
      <c r="C12" s="3" t="s">
        <v>52</v>
      </c>
      <c r="D12" s="3">
        <v>35.4</v>
      </c>
      <c r="E12" s="3"/>
      <c r="F12" s="12"/>
    </row>
    <row r="13" spans="1:6">
      <c r="A13" s="28">
        <v>7</v>
      </c>
      <c r="B13" s="18" t="s">
        <v>130</v>
      </c>
      <c r="C13" s="3" t="s">
        <v>46</v>
      </c>
      <c r="D13" s="3">
        <f>D16*0.78</f>
        <v>6.24</v>
      </c>
      <c r="E13" s="3"/>
      <c r="F13" s="12"/>
    </row>
    <row r="14" spans="1:6">
      <c r="A14" s="28">
        <v>8</v>
      </c>
      <c r="B14" s="18" t="s">
        <v>120</v>
      </c>
      <c r="C14" s="3" t="s">
        <v>119</v>
      </c>
      <c r="D14" s="3">
        <f>101*2+4*4</f>
        <v>218</v>
      </c>
      <c r="E14" s="3"/>
      <c r="F14" s="12"/>
    </row>
    <row r="15" spans="1:6">
      <c r="A15" s="28">
        <v>9</v>
      </c>
      <c r="B15" s="21" t="s">
        <v>121</v>
      </c>
      <c r="C15" s="3" t="s">
        <v>51</v>
      </c>
      <c r="D15" s="3">
        <v>334</v>
      </c>
      <c r="E15" s="3"/>
      <c r="F15" s="12"/>
    </row>
    <row r="16" spans="1:6" ht="30">
      <c r="A16" s="28">
        <v>10</v>
      </c>
      <c r="B16" s="18" t="s">
        <v>122</v>
      </c>
      <c r="C16" s="3" t="s">
        <v>115</v>
      </c>
      <c r="D16" s="3">
        <v>8</v>
      </c>
      <c r="E16" s="3"/>
      <c r="F16" s="12"/>
    </row>
    <row r="17" spans="1:6">
      <c r="A17" s="28">
        <v>11</v>
      </c>
      <c r="B17" s="18" t="s">
        <v>124</v>
      </c>
      <c r="C17" s="3" t="s">
        <v>118</v>
      </c>
      <c r="D17" s="3">
        <f>D11+(D9*2.5)</f>
        <v>1.7669999999999999</v>
      </c>
      <c r="E17" s="3"/>
      <c r="F17" s="12"/>
    </row>
    <row r="18" spans="1:6">
      <c r="A18" s="28">
        <v>12</v>
      </c>
      <c r="B18" s="21" t="s">
        <v>125</v>
      </c>
      <c r="C18" s="3" t="s">
        <v>118</v>
      </c>
      <c r="D18" s="3">
        <f>D17</f>
        <v>1.7669999999999999</v>
      </c>
      <c r="E18" s="3"/>
      <c r="F18" s="12"/>
    </row>
    <row r="19" spans="1:6">
      <c r="A19" s="28">
        <v>13</v>
      </c>
      <c r="B19" s="18" t="s">
        <v>127</v>
      </c>
      <c r="C19" s="3" t="s">
        <v>128</v>
      </c>
      <c r="D19" s="3">
        <v>50</v>
      </c>
      <c r="E19" s="3"/>
      <c r="F19" s="12"/>
    </row>
    <row r="20" spans="1:6">
      <c r="A20" s="28">
        <v>14</v>
      </c>
      <c r="B20" s="18" t="s">
        <v>386</v>
      </c>
      <c r="C20" s="28" t="s">
        <v>118</v>
      </c>
      <c r="D20" s="28">
        <f>D11</f>
        <v>0.56699999999999995</v>
      </c>
      <c r="E20" s="28"/>
      <c r="F20" s="12"/>
    </row>
    <row r="21" spans="1:6">
      <c r="A21" s="28">
        <v>15</v>
      </c>
      <c r="B21" s="18" t="s">
        <v>150</v>
      </c>
      <c r="C21" s="6" t="s">
        <v>51</v>
      </c>
      <c r="D21" s="3">
        <v>2</v>
      </c>
      <c r="E21" s="3"/>
      <c r="F21" s="12"/>
    </row>
    <row r="22" spans="1:6">
      <c r="A22" s="28">
        <v>16</v>
      </c>
      <c r="B22" s="18" t="s">
        <v>129</v>
      </c>
      <c r="C22" s="3" t="s">
        <v>115</v>
      </c>
      <c r="D22" s="3">
        <f>D16</f>
        <v>8</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O17"/>
  <sheetViews>
    <sheetView topLeftCell="A7" zoomScaleNormal="100" workbookViewId="0">
      <selection activeCell="B8" sqref="B8"/>
    </sheetView>
  </sheetViews>
  <sheetFormatPr defaultRowHeight="12.75"/>
  <cols>
    <col min="1" max="1" width="7.7109375" style="104" customWidth="1"/>
    <col min="2" max="2" width="10.7109375" style="104" customWidth="1"/>
    <col min="3" max="3" width="45.7109375" style="104" customWidth="1"/>
    <col min="4" max="4" width="21" style="104" customWidth="1"/>
    <col min="5" max="16384" width="9.140625" style="104"/>
  </cols>
  <sheetData>
    <row r="1" spans="1:4" s="199" customFormat="1" ht="50.25" customHeight="1">
      <c r="A1" s="231" t="str">
        <f>'N3-8'!A1:F1</f>
        <v>yazbegis, aragvis, fSav-xevsureTisa da TuSeTis dacul teritoriebze arsebuli 7 qoxis saxarjTaRricxvo dokumentacia.</v>
      </c>
      <c r="B1" s="198"/>
      <c r="C1" s="198"/>
      <c r="D1" s="198"/>
    </row>
    <row r="2" spans="1:4" s="201" customFormat="1" ht="24" customHeight="1">
      <c r="A2" s="200" t="s">
        <v>497</v>
      </c>
      <c r="B2" s="200"/>
      <c r="C2" s="200"/>
      <c r="D2" s="200"/>
    </row>
    <row r="3" spans="1:4" s="201" customFormat="1" ht="23.25" customHeight="1" thickBot="1">
      <c r="A3" s="202" t="s">
        <v>997</v>
      </c>
      <c r="B3" s="202"/>
      <c r="C3" s="202"/>
      <c r="D3" s="202"/>
    </row>
    <row r="4" spans="1:4" s="201" customFormat="1" ht="108" customHeight="1" thickBot="1">
      <c r="A4" s="203" t="s">
        <v>506</v>
      </c>
      <c r="B4" s="204" t="s">
        <v>392</v>
      </c>
      <c r="C4" s="205" t="s">
        <v>507</v>
      </c>
      <c r="D4" s="205" t="s">
        <v>508</v>
      </c>
    </row>
    <row r="5" spans="1:4" s="201" customFormat="1" ht="20.25" customHeight="1" thickBot="1">
      <c r="A5" s="206">
        <v>1</v>
      </c>
      <c r="B5" s="207">
        <v>2</v>
      </c>
      <c r="C5" s="206">
        <v>3</v>
      </c>
      <c r="D5" s="206">
        <v>4</v>
      </c>
    </row>
    <row r="6" spans="1:4" s="201" customFormat="1" ht="22.5" customHeight="1">
      <c r="A6" s="208">
        <v>1</v>
      </c>
      <c r="B6" s="424" t="s">
        <v>998</v>
      </c>
      <c r="C6" s="210" t="s">
        <v>509</v>
      </c>
      <c r="D6" s="425">
        <f>'N4-1'!F77</f>
        <v>0</v>
      </c>
    </row>
    <row r="7" spans="1:4" s="216" customFormat="1" ht="39.75" customHeight="1">
      <c r="A7" s="212" t="s">
        <v>7</v>
      </c>
      <c r="B7" s="424" t="s">
        <v>999</v>
      </c>
      <c r="C7" s="214" t="s">
        <v>510</v>
      </c>
      <c r="D7" s="215">
        <f>'N4-2'!F18</f>
        <v>0</v>
      </c>
    </row>
    <row r="8" spans="1:4" s="201" customFormat="1" ht="22.5" customHeight="1">
      <c r="A8" s="217">
        <v>3</v>
      </c>
      <c r="B8" s="424" t="s">
        <v>1000</v>
      </c>
      <c r="C8" s="218" t="s">
        <v>511</v>
      </c>
      <c r="D8" s="215">
        <f>'N4-3'!F16</f>
        <v>0</v>
      </c>
    </row>
    <row r="9" spans="1:4" s="201" customFormat="1" ht="22.5" customHeight="1">
      <c r="A9" s="212" t="s">
        <v>488</v>
      </c>
      <c r="B9" s="424" t="s">
        <v>1001</v>
      </c>
      <c r="C9" s="218" t="s">
        <v>512</v>
      </c>
      <c r="D9" s="215">
        <f>'N4-4'!F25</f>
        <v>0</v>
      </c>
    </row>
    <row r="10" spans="1:4" s="201" customFormat="1" ht="22.5" customHeight="1">
      <c r="A10" s="212" t="s">
        <v>513</v>
      </c>
      <c r="B10" s="424" t="s">
        <v>1002</v>
      </c>
      <c r="C10" s="218" t="s">
        <v>514</v>
      </c>
      <c r="D10" s="215">
        <f>'N4-5'!F113</f>
        <v>0</v>
      </c>
    </row>
    <row r="11" spans="1:4" s="201" customFormat="1" ht="22.5" customHeight="1">
      <c r="A11" s="212" t="s">
        <v>515</v>
      </c>
      <c r="B11" s="424" t="s">
        <v>1003</v>
      </c>
      <c r="C11" s="218" t="s">
        <v>516</v>
      </c>
      <c r="D11" s="215">
        <f>'N4-6'!F27</f>
        <v>0</v>
      </c>
    </row>
    <row r="12" spans="1:4" s="201" customFormat="1" ht="39" customHeight="1">
      <c r="A12" s="217">
        <v>7</v>
      </c>
      <c r="B12" s="424" t="s">
        <v>1004</v>
      </c>
      <c r="C12" s="219" t="s">
        <v>517</v>
      </c>
      <c r="D12" s="215">
        <f>'N4-7'!F21</f>
        <v>0</v>
      </c>
    </row>
    <row r="13" spans="1:4" s="201" customFormat="1" ht="33.75" customHeight="1">
      <c r="A13" s="217">
        <v>8</v>
      </c>
      <c r="B13" s="424" t="s">
        <v>1005</v>
      </c>
      <c r="C13" s="219" t="s">
        <v>518</v>
      </c>
      <c r="D13" s="215">
        <f>'N4-8'!F19</f>
        <v>0</v>
      </c>
    </row>
    <row r="14" spans="1:4" s="201" customFormat="1" ht="22.5" customHeight="1" thickBot="1">
      <c r="A14" s="220"/>
      <c r="B14" s="221"/>
      <c r="C14" s="222" t="s">
        <v>519</v>
      </c>
      <c r="D14" s="223">
        <f>SUM(D6:D13)</f>
        <v>0</v>
      </c>
    </row>
    <row r="15" spans="1:4" s="225" customFormat="1" ht="13.5">
      <c r="A15" s="224"/>
    </row>
    <row r="16" spans="1:4" s="226" customFormat="1"/>
    <row r="17" spans="1:119" s="229" customFormat="1" ht="15">
      <c r="A17" s="228"/>
      <c r="B17" s="228"/>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30"/>
      <c r="AP17" s="230"/>
      <c r="AQ17" s="230"/>
      <c r="AR17" s="230"/>
      <c r="AS17" s="230"/>
      <c r="AT17" s="230"/>
      <c r="AU17" s="230"/>
      <c r="AV17" s="230"/>
      <c r="AW17" s="230"/>
      <c r="AX17" s="230"/>
      <c r="AY17" s="230"/>
      <c r="AZ17" s="230"/>
      <c r="BA17" s="230"/>
      <c r="BB17" s="230"/>
      <c r="BC17" s="230"/>
      <c r="BD17" s="230"/>
      <c r="BE17" s="230"/>
      <c r="BF17" s="230"/>
      <c r="BG17" s="230"/>
      <c r="BH17" s="230"/>
      <c r="BI17" s="230"/>
      <c r="BJ17" s="230"/>
      <c r="BK17" s="230"/>
      <c r="BL17" s="230"/>
      <c r="BM17" s="230"/>
      <c r="BN17" s="230"/>
      <c r="BO17" s="230"/>
      <c r="BP17" s="230"/>
      <c r="BQ17" s="230"/>
      <c r="BR17" s="230"/>
      <c r="BS17" s="230"/>
      <c r="BT17" s="230"/>
      <c r="BU17" s="230"/>
      <c r="BV17" s="230"/>
      <c r="BW17" s="230"/>
      <c r="BX17" s="230"/>
      <c r="BY17" s="230"/>
      <c r="BZ17" s="230"/>
      <c r="CA17" s="230"/>
      <c r="CB17" s="230"/>
      <c r="CC17" s="230"/>
      <c r="CD17" s="230"/>
      <c r="CE17" s="230"/>
      <c r="CF17" s="230"/>
      <c r="CG17" s="230"/>
      <c r="CH17" s="230"/>
      <c r="CI17" s="230"/>
      <c r="CJ17" s="230"/>
      <c r="CK17" s="230"/>
      <c r="CL17" s="230"/>
      <c r="CM17" s="230"/>
      <c r="CN17" s="230"/>
      <c r="CO17" s="230"/>
      <c r="CP17" s="230"/>
      <c r="CQ17" s="230"/>
      <c r="CR17" s="230"/>
      <c r="CS17" s="230"/>
      <c r="CT17" s="230"/>
      <c r="CU17" s="230"/>
      <c r="CV17" s="230"/>
      <c r="CW17" s="230"/>
      <c r="CX17" s="230"/>
      <c r="CY17" s="230"/>
      <c r="CZ17" s="230"/>
      <c r="DA17" s="230"/>
      <c r="DB17" s="230"/>
      <c r="DC17" s="230"/>
      <c r="DD17" s="230"/>
      <c r="DE17" s="230"/>
      <c r="DF17" s="230"/>
      <c r="DG17" s="230"/>
      <c r="DH17" s="230"/>
      <c r="DI17" s="230"/>
      <c r="DJ17" s="230"/>
      <c r="DK17" s="230"/>
      <c r="DL17" s="230"/>
      <c r="DM17" s="230"/>
      <c r="DN17" s="230"/>
      <c r="DO17" s="230"/>
    </row>
  </sheetData>
  <mergeCells count="3">
    <mergeCell ref="A1:D1"/>
    <mergeCell ref="A2:D2"/>
    <mergeCell ref="A3:D3"/>
  </mergeCells>
  <pageMargins left="0.7" right="0.7" top="0.75" bottom="0.75" header="0.3" footer="0.3"/>
  <pageSetup paperSize="9"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80"/>
  <sheetViews>
    <sheetView topLeftCell="A71" zoomScaleNormal="100" workbookViewId="0">
      <selection activeCell="B8" sqref="B8"/>
    </sheetView>
  </sheetViews>
  <sheetFormatPr defaultColWidth="9" defaultRowHeight="15.75"/>
  <cols>
    <col min="1" max="1" width="6.7109375" style="478" customWidth="1"/>
    <col min="2" max="2" width="55.85546875" style="344" customWidth="1"/>
    <col min="3" max="5" width="8.85546875" style="409" customWidth="1"/>
    <col min="6" max="6" width="12.140625" style="409" bestFit="1" customWidth="1"/>
    <col min="7" max="16384" width="9" style="344"/>
  </cols>
  <sheetData>
    <row r="1" spans="1:7" s="199" customFormat="1" ht="32.25" customHeight="1">
      <c r="A1" s="231" t="str">
        <f>ob.N4!A1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1006</v>
      </c>
      <c r="B3" s="330"/>
      <c r="C3" s="330"/>
      <c r="D3" s="330"/>
      <c r="E3" s="330"/>
      <c r="F3" s="330"/>
    </row>
    <row r="4" spans="1:7" s="335" customFormat="1" ht="20.25" customHeight="1">
      <c r="A4" s="377" t="s">
        <v>1007</v>
      </c>
      <c r="B4" s="377"/>
      <c r="C4" s="377"/>
      <c r="D4" s="377"/>
      <c r="E4" s="377"/>
      <c r="F4" s="377"/>
      <c r="G4" s="378"/>
    </row>
    <row r="5" spans="1:7" s="199" customFormat="1" ht="19.5" customHeight="1" thickBot="1">
      <c r="A5" s="379" t="s">
        <v>522</v>
      </c>
      <c r="B5" s="379"/>
      <c r="C5" s="379"/>
      <c r="D5" s="379"/>
      <c r="E5" s="379"/>
      <c r="F5" s="379"/>
      <c r="G5" s="380"/>
    </row>
    <row r="6" spans="1:7" ht="72" customHeight="1">
      <c r="A6" s="547" t="s">
        <v>523</v>
      </c>
      <c r="B6" s="548" t="s">
        <v>524</v>
      </c>
      <c r="C6" s="549" t="s">
        <v>525</v>
      </c>
      <c r="D6" s="550" t="s">
        <v>411</v>
      </c>
      <c r="E6" s="551" t="s">
        <v>526</v>
      </c>
      <c r="F6" s="552" t="s">
        <v>527</v>
      </c>
    </row>
    <row r="7" spans="1:7" ht="16.5" thickBot="1">
      <c r="A7" s="553"/>
      <c r="B7" s="554"/>
      <c r="C7" s="555"/>
      <c r="D7" s="556"/>
      <c r="E7" s="557"/>
      <c r="F7" s="558"/>
    </row>
    <row r="8" spans="1:7" s="492" customFormat="1" ht="22.15" customHeight="1" thickBot="1">
      <c r="A8" s="559" t="s">
        <v>5</v>
      </c>
      <c r="B8" s="560">
        <v>2</v>
      </c>
      <c r="C8" s="561">
        <v>3</v>
      </c>
      <c r="D8" s="562">
        <v>4</v>
      </c>
      <c r="E8" s="563">
        <v>5</v>
      </c>
      <c r="F8" s="564">
        <v>6</v>
      </c>
    </row>
    <row r="9" spans="1:7" s="566" customFormat="1" ht="16.5">
      <c r="A9" s="441"/>
      <c r="B9" s="442" t="s">
        <v>1008</v>
      </c>
      <c r="C9" s="441"/>
      <c r="D9" s="253"/>
      <c r="E9" s="253"/>
      <c r="F9" s="565"/>
    </row>
    <row r="10" spans="1:7" s="566" customFormat="1" ht="31.5">
      <c r="A10" s="366">
        <v>1</v>
      </c>
      <c r="B10" s="358" t="s">
        <v>1009</v>
      </c>
      <c r="C10" s="366" t="s">
        <v>537</v>
      </c>
      <c r="D10" s="449">
        <v>7.335</v>
      </c>
      <c r="E10" s="266"/>
      <c r="F10" s="360"/>
    </row>
    <row r="11" spans="1:7" s="566" customFormat="1">
      <c r="A11" s="366">
        <v>2</v>
      </c>
      <c r="B11" s="358" t="s">
        <v>1010</v>
      </c>
      <c r="C11" s="366" t="s">
        <v>537</v>
      </c>
      <c r="D11" s="449">
        <v>6.5519999999999996</v>
      </c>
      <c r="E11" s="266"/>
      <c r="F11" s="360"/>
    </row>
    <row r="12" spans="1:7" s="566" customFormat="1" ht="31.5">
      <c r="A12" s="445">
        <v>3</v>
      </c>
      <c r="B12" s="358" t="s">
        <v>568</v>
      </c>
      <c r="C12" s="366" t="s">
        <v>537</v>
      </c>
      <c r="D12" s="450">
        <v>0.74941999999999998</v>
      </c>
      <c r="E12" s="266"/>
      <c r="F12" s="360"/>
    </row>
    <row r="13" spans="1:7" s="566" customFormat="1" ht="31.5">
      <c r="A13" s="359">
        <v>4</v>
      </c>
      <c r="B13" s="358" t="s">
        <v>569</v>
      </c>
      <c r="C13" s="359" t="s">
        <v>537</v>
      </c>
      <c r="D13" s="451">
        <f>D11+D12</f>
        <v>7.3014199999999994</v>
      </c>
      <c r="E13" s="274"/>
      <c r="F13" s="360"/>
    </row>
    <row r="14" spans="1:7" s="566" customFormat="1">
      <c r="A14" s="359">
        <v>5</v>
      </c>
      <c r="B14" s="358" t="s">
        <v>570</v>
      </c>
      <c r="C14" s="359" t="s">
        <v>554</v>
      </c>
      <c r="D14" s="263">
        <v>254</v>
      </c>
      <c r="E14" s="274"/>
      <c r="F14" s="360"/>
    </row>
    <row r="15" spans="1:7" s="492" customFormat="1" ht="31.5">
      <c r="A15" s="362">
        <v>6</v>
      </c>
      <c r="B15" s="358" t="s">
        <v>571</v>
      </c>
      <c r="C15" s="359" t="s">
        <v>537</v>
      </c>
      <c r="D15" s="451">
        <f>D13</f>
        <v>7.3014199999999994</v>
      </c>
      <c r="E15" s="274"/>
      <c r="F15" s="360"/>
    </row>
    <row r="16" spans="1:7" s="492" customFormat="1" ht="31.5">
      <c r="A16" s="366">
        <v>7</v>
      </c>
      <c r="B16" s="358" t="s">
        <v>572</v>
      </c>
      <c r="C16" s="366" t="s">
        <v>530</v>
      </c>
      <c r="D16" s="259">
        <v>5.32</v>
      </c>
      <c r="E16" s="266"/>
      <c r="F16" s="360"/>
    </row>
    <row r="17" spans="1:6" s="492" customFormat="1" ht="31.5">
      <c r="A17" s="366">
        <v>8</v>
      </c>
      <c r="B17" s="358" t="s">
        <v>573</v>
      </c>
      <c r="C17" s="366" t="s">
        <v>530</v>
      </c>
      <c r="D17" s="278">
        <f>12.16+3+4.8</f>
        <v>19.96</v>
      </c>
      <c r="E17" s="266"/>
      <c r="F17" s="360"/>
    </row>
    <row r="18" spans="1:6" s="492" customFormat="1" ht="31.5">
      <c r="A18" s="366">
        <v>9</v>
      </c>
      <c r="B18" s="358" t="s">
        <v>1011</v>
      </c>
      <c r="C18" s="366" t="s">
        <v>530</v>
      </c>
      <c r="D18" s="278">
        <v>13.44</v>
      </c>
      <c r="E18" s="266"/>
      <c r="F18" s="360"/>
    </row>
    <row r="19" spans="1:6" s="492" customFormat="1" ht="31.5">
      <c r="A19" s="366">
        <v>10</v>
      </c>
      <c r="B19" s="358" t="s">
        <v>1012</v>
      </c>
      <c r="C19" s="366" t="s">
        <v>530</v>
      </c>
      <c r="D19" s="278">
        <v>14.6</v>
      </c>
      <c r="E19" s="266"/>
      <c r="F19" s="360"/>
    </row>
    <row r="20" spans="1:6" s="492" customFormat="1">
      <c r="A20" s="281">
        <v>11</v>
      </c>
      <c r="B20" s="452" t="s">
        <v>575</v>
      </c>
      <c r="C20" s="281" t="s">
        <v>530</v>
      </c>
      <c r="D20" s="268">
        <f>D17+D18+D16+D19</f>
        <v>53.32</v>
      </c>
      <c r="E20" s="270"/>
      <c r="F20" s="360"/>
    </row>
    <row r="21" spans="1:6" s="492" customFormat="1">
      <c r="A21" s="400">
        <v>12</v>
      </c>
      <c r="B21" s="358" t="s">
        <v>576</v>
      </c>
      <c r="C21" s="366" t="s">
        <v>537</v>
      </c>
      <c r="D21" s="366">
        <v>4.7838700000000003</v>
      </c>
      <c r="E21" s="266"/>
      <c r="F21" s="360"/>
    </row>
    <row r="22" spans="1:6" s="492" customFormat="1">
      <c r="A22" s="281"/>
      <c r="B22" s="280" t="s">
        <v>578</v>
      </c>
      <c r="C22" s="281" t="s">
        <v>474</v>
      </c>
      <c r="D22" s="268">
        <v>440</v>
      </c>
      <c r="E22" s="268"/>
      <c r="F22" s="360"/>
    </row>
    <row r="23" spans="1:6" s="492" customFormat="1" ht="19.5" customHeight="1">
      <c r="A23" s="281"/>
      <c r="B23" s="280" t="s">
        <v>580</v>
      </c>
      <c r="C23" s="281" t="s">
        <v>474</v>
      </c>
      <c r="D23" s="268">
        <v>550</v>
      </c>
      <c r="E23" s="268"/>
      <c r="F23" s="360"/>
    </row>
    <row r="24" spans="1:6" s="492" customFormat="1" ht="16.5">
      <c r="A24" s="441"/>
      <c r="B24" s="442" t="s">
        <v>581</v>
      </c>
      <c r="C24" s="441"/>
      <c r="D24" s="253"/>
      <c r="E24" s="253"/>
      <c r="F24" s="360"/>
    </row>
    <row r="25" spans="1:6" s="492" customFormat="1" ht="31.5">
      <c r="A25" s="400">
        <v>1</v>
      </c>
      <c r="B25" s="358" t="s">
        <v>1013</v>
      </c>
      <c r="C25" s="366" t="s">
        <v>530</v>
      </c>
      <c r="D25" s="259">
        <v>2.91</v>
      </c>
      <c r="E25" s="266"/>
      <c r="F25" s="360"/>
    </row>
    <row r="26" spans="1:6" s="492" customFormat="1" ht="47.25">
      <c r="A26" s="359">
        <v>2</v>
      </c>
      <c r="B26" s="358" t="s">
        <v>583</v>
      </c>
      <c r="C26" s="359" t="s">
        <v>554</v>
      </c>
      <c r="D26" s="263">
        <v>160.9</v>
      </c>
      <c r="E26" s="274"/>
      <c r="F26" s="360"/>
    </row>
    <row r="27" spans="1:6" s="492" customFormat="1" ht="31.5">
      <c r="A27" s="359"/>
      <c r="B27" s="358" t="s">
        <v>584</v>
      </c>
      <c r="C27" s="362" t="s">
        <v>530</v>
      </c>
      <c r="D27" s="363">
        <f>D26*0.025</f>
        <v>4.0225</v>
      </c>
      <c r="E27" s="274"/>
      <c r="F27" s="360"/>
    </row>
    <row r="28" spans="1:6" s="492" customFormat="1">
      <c r="A28" s="400">
        <v>3</v>
      </c>
      <c r="B28" s="358" t="s">
        <v>585</v>
      </c>
      <c r="C28" s="366" t="s">
        <v>586</v>
      </c>
      <c r="D28" s="259">
        <f>D26</f>
        <v>160.9</v>
      </c>
      <c r="E28" s="266"/>
      <c r="F28" s="360"/>
    </row>
    <row r="29" spans="1:6" s="492" customFormat="1" ht="31.5">
      <c r="A29" s="400">
        <v>4</v>
      </c>
      <c r="B29" s="358" t="s">
        <v>870</v>
      </c>
      <c r="C29" s="366" t="s">
        <v>554</v>
      </c>
      <c r="D29" s="259">
        <v>121.35</v>
      </c>
      <c r="E29" s="266"/>
      <c r="F29" s="360"/>
    </row>
    <row r="30" spans="1:6" s="492" customFormat="1">
      <c r="A30" s="400">
        <v>5</v>
      </c>
      <c r="B30" s="358" t="s">
        <v>588</v>
      </c>
      <c r="C30" s="366" t="s">
        <v>586</v>
      </c>
      <c r="D30" s="259">
        <v>121.35</v>
      </c>
      <c r="E30" s="266"/>
      <c r="F30" s="360"/>
    </row>
    <row r="31" spans="1:6" s="492" customFormat="1" ht="47.25">
      <c r="A31" s="359">
        <v>6</v>
      </c>
      <c r="B31" s="358" t="s">
        <v>1014</v>
      </c>
      <c r="C31" s="359" t="s">
        <v>554</v>
      </c>
      <c r="D31" s="283">
        <v>104.6</v>
      </c>
      <c r="E31" s="274"/>
      <c r="F31" s="360"/>
    </row>
    <row r="32" spans="1:6" s="492" customFormat="1" ht="31.5">
      <c r="A32" s="359"/>
      <c r="B32" s="358" t="s">
        <v>584</v>
      </c>
      <c r="C32" s="362" t="s">
        <v>530</v>
      </c>
      <c r="D32" s="363">
        <f>D31*0.025</f>
        <v>2.6150000000000002</v>
      </c>
      <c r="E32" s="274"/>
      <c r="F32" s="360"/>
    </row>
    <row r="33" spans="1:6" s="492" customFormat="1" ht="31.5">
      <c r="A33" s="359">
        <v>7</v>
      </c>
      <c r="B33" s="358" t="s">
        <v>590</v>
      </c>
      <c r="C33" s="359" t="s">
        <v>554</v>
      </c>
      <c r="D33" s="263">
        <v>16.75</v>
      </c>
      <c r="E33" s="274"/>
      <c r="F33" s="360"/>
    </row>
    <row r="34" spans="1:6" s="492" customFormat="1" ht="16.5">
      <c r="A34" s="441"/>
      <c r="B34" s="442" t="s">
        <v>591</v>
      </c>
      <c r="C34" s="441"/>
      <c r="D34" s="253"/>
      <c r="E34" s="253"/>
      <c r="F34" s="360"/>
    </row>
    <row r="35" spans="1:6" s="492" customFormat="1">
      <c r="A35" s="359">
        <v>1</v>
      </c>
      <c r="B35" s="358" t="s">
        <v>1015</v>
      </c>
      <c r="C35" s="359" t="s">
        <v>530</v>
      </c>
      <c r="D35" s="263">
        <v>44.15</v>
      </c>
      <c r="E35" s="274"/>
      <c r="F35" s="360"/>
    </row>
    <row r="36" spans="1:6" s="492" customFormat="1" ht="16.5">
      <c r="A36" s="441"/>
      <c r="B36" s="442" t="s">
        <v>593</v>
      </c>
      <c r="C36" s="441"/>
      <c r="D36" s="253"/>
      <c r="E36" s="253"/>
      <c r="F36" s="360"/>
    </row>
    <row r="37" spans="1:6" s="492" customFormat="1" ht="31.5">
      <c r="A37" s="400">
        <v>1</v>
      </c>
      <c r="B37" s="358" t="s">
        <v>872</v>
      </c>
      <c r="C37" s="366" t="s">
        <v>586</v>
      </c>
      <c r="D37" s="278">
        <f>D38*2+D40*2</f>
        <v>350.3</v>
      </c>
      <c r="E37" s="266"/>
      <c r="F37" s="360"/>
    </row>
    <row r="38" spans="1:6" s="492" customFormat="1" ht="47.25">
      <c r="A38" s="400">
        <v>2</v>
      </c>
      <c r="B38" s="358" t="s">
        <v>960</v>
      </c>
      <c r="C38" s="366" t="s">
        <v>554</v>
      </c>
      <c r="D38" s="259">
        <v>122.4</v>
      </c>
      <c r="E38" s="266"/>
      <c r="F38" s="360"/>
    </row>
    <row r="39" spans="1:6" s="492" customFormat="1" ht="31.5">
      <c r="A39" s="359"/>
      <c r="B39" s="358" t="s">
        <v>1016</v>
      </c>
      <c r="C39" s="359" t="s">
        <v>530</v>
      </c>
      <c r="D39" s="567">
        <f>142.05*0.011</f>
        <v>1.5625500000000001</v>
      </c>
      <c r="E39" s="274"/>
      <c r="F39" s="360"/>
    </row>
    <row r="40" spans="1:6" s="492" customFormat="1" ht="47.25">
      <c r="A40" s="400">
        <v>3</v>
      </c>
      <c r="B40" s="358" t="s">
        <v>601</v>
      </c>
      <c r="C40" s="366" t="s">
        <v>554</v>
      </c>
      <c r="D40" s="259">
        <v>52.75</v>
      </c>
      <c r="E40" s="266"/>
      <c r="F40" s="360"/>
    </row>
    <row r="41" spans="1:6" s="492" customFormat="1" ht="31.5">
      <c r="A41" s="359"/>
      <c r="B41" s="358" t="s">
        <v>1016</v>
      </c>
      <c r="C41" s="359" t="s">
        <v>530</v>
      </c>
      <c r="D41" s="363">
        <f>21.9*0.011</f>
        <v>0.24089999999999998</v>
      </c>
      <c r="E41" s="274"/>
      <c r="F41" s="360"/>
    </row>
    <row r="42" spans="1:6" s="492" customFormat="1" ht="47.25">
      <c r="A42" s="359">
        <v>4</v>
      </c>
      <c r="B42" s="358" t="s">
        <v>603</v>
      </c>
      <c r="C42" s="359" t="s">
        <v>554</v>
      </c>
      <c r="D42" s="263">
        <f>D40</f>
        <v>52.75</v>
      </c>
      <c r="E42" s="274"/>
      <c r="F42" s="360"/>
    </row>
    <row r="43" spans="1:6" s="492" customFormat="1">
      <c r="A43" s="454"/>
      <c r="B43" s="455" t="s">
        <v>604</v>
      </c>
      <c r="C43" s="454"/>
      <c r="D43" s="456"/>
      <c r="E43" s="292"/>
      <c r="F43" s="360"/>
    </row>
    <row r="44" spans="1:6" s="568" customFormat="1" ht="31.5">
      <c r="A44" s="362">
        <v>1</v>
      </c>
      <c r="B44" s="358" t="s">
        <v>605</v>
      </c>
      <c r="C44" s="359" t="s">
        <v>554</v>
      </c>
      <c r="D44" s="283">
        <v>16.27</v>
      </c>
      <c r="E44" s="274"/>
      <c r="F44" s="360"/>
    </row>
    <row r="45" spans="1:6" s="492" customFormat="1" ht="47.25">
      <c r="A45" s="359">
        <v>3</v>
      </c>
      <c r="B45" s="358" t="s">
        <v>963</v>
      </c>
      <c r="C45" s="359" t="s">
        <v>554</v>
      </c>
      <c r="D45" s="263">
        <v>7.92</v>
      </c>
      <c r="E45" s="274"/>
      <c r="F45" s="360"/>
    </row>
    <row r="46" spans="1:6" s="568" customFormat="1" ht="47.25">
      <c r="A46" s="359">
        <v>4</v>
      </c>
      <c r="B46" s="358" t="s">
        <v>1017</v>
      </c>
      <c r="C46" s="359" t="s">
        <v>554</v>
      </c>
      <c r="D46" s="283">
        <v>3.52</v>
      </c>
      <c r="E46" s="274"/>
      <c r="F46" s="360"/>
    </row>
    <row r="47" spans="1:6" s="492" customFormat="1" ht="47.25">
      <c r="A47" s="359">
        <v>5</v>
      </c>
      <c r="B47" s="358" t="s">
        <v>1018</v>
      </c>
      <c r="C47" s="359" t="s">
        <v>554</v>
      </c>
      <c r="D47" s="283">
        <f>11.73+5.52</f>
        <v>17.25</v>
      </c>
      <c r="E47" s="274"/>
      <c r="F47" s="360"/>
    </row>
    <row r="48" spans="1:6" s="492" customFormat="1">
      <c r="A48" s="520">
        <v>5</v>
      </c>
      <c r="B48" s="521" t="s">
        <v>609</v>
      </c>
      <c r="C48" s="461" t="s">
        <v>554</v>
      </c>
      <c r="D48" s="298">
        <v>0.64</v>
      </c>
      <c r="E48" s="299"/>
      <c r="F48" s="360"/>
    </row>
    <row r="49" spans="1:6" s="492" customFormat="1" ht="31.5">
      <c r="A49" s="400">
        <v>6</v>
      </c>
      <c r="B49" s="458" t="s">
        <v>610</v>
      </c>
      <c r="C49" s="366" t="s">
        <v>554</v>
      </c>
      <c r="D49" s="259">
        <f>D48*2</f>
        <v>1.28</v>
      </c>
      <c r="E49" s="266"/>
      <c r="F49" s="360"/>
    </row>
    <row r="50" spans="1:6" s="492" customFormat="1">
      <c r="A50" s="523">
        <v>7</v>
      </c>
      <c r="B50" s="460" t="s">
        <v>611</v>
      </c>
      <c r="C50" s="524" t="s">
        <v>554</v>
      </c>
      <c r="D50" s="303">
        <f>D48*2</f>
        <v>1.28</v>
      </c>
      <c r="E50" s="304"/>
      <c r="F50" s="360"/>
    </row>
    <row r="51" spans="1:6" s="492" customFormat="1">
      <c r="A51" s="454"/>
      <c r="B51" s="442" t="s">
        <v>613</v>
      </c>
      <c r="C51" s="454"/>
      <c r="D51" s="457"/>
      <c r="E51" s="292"/>
      <c r="F51" s="360"/>
    </row>
    <row r="52" spans="1:6" s="492" customFormat="1">
      <c r="A52" s="400">
        <v>1</v>
      </c>
      <c r="B52" s="458" t="s">
        <v>614</v>
      </c>
      <c r="C52" s="400" t="s">
        <v>554</v>
      </c>
      <c r="D52" s="278">
        <v>279</v>
      </c>
      <c r="E52" s="306"/>
      <c r="F52" s="360"/>
    </row>
    <row r="53" spans="1:6" s="492" customFormat="1">
      <c r="A53" s="366">
        <v>2</v>
      </c>
      <c r="B53" s="358" t="s">
        <v>615</v>
      </c>
      <c r="C53" s="366" t="s">
        <v>530</v>
      </c>
      <c r="D53" s="278">
        <f>159.35*0.1</f>
        <v>15.935</v>
      </c>
      <c r="E53" s="266"/>
      <c r="F53" s="360"/>
    </row>
    <row r="54" spans="1:6" s="492" customFormat="1">
      <c r="A54" s="362">
        <v>3</v>
      </c>
      <c r="B54" s="358" t="s">
        <v>623</v>
      </c>
      <c r="C54" s="359" t="s">
        <v>554</v>
      </c>
      <c r="D54" s="283">
        <v>183.9</v>
      </c>
      <c r="E54" s="274"/>
      <c r="F54" s="360"/>
    </row>
    <row r="55" spans="1:6" ht="31.5">
      <c r="A55" s="459">
        <v>4</v>
      </c>
      <c r="B55" s="460" t="s">
        <v>617</v>
      </c>
      <c r="C55" s="459" t="s">
        <v>554</v>
      </c>
      <c r="D55" s="287">
        <v>8.6</v>
      </c>
      <c r="E55" s="288"/>
      <c r="F55" s="360"/>
    </row>
    <row r="56" spans="1:6" ht="47.25">
      <c r="A56" s="362">
        <v>5</v>
      </c>
      <c r="B56" s="458" t="s">
        <v>618</v>
      </c>
      <c r="C56" s="359" t="s">
        <v>554</v>
      </c>
      <c r="D56" s="283">
        <v>165</v>
      </c>
      <c r="E56" s="274"/>
      <c r="F56" s="360"/>
    </row>
    <row r="57" spans="1:6">
      <c r="A57" s="454"/>
      <c r="B57" s="442" t="s">
        <v>620</v>
      </c>
      <c r="C57" s="454"/>
      <c r="D57" s="457"/>
      <c r="E57" s="292"/>
      <c r="F57" s="360"/>
    </row>
    <row r="58" spans="1:6">
      <c r="A58" s="400">
        <v>1</v>
      </c>
      <c r="B58" s="358" t="s">
        <v>621</v>
      </c>
      <c r="C58" s="366" t="s">
        <v>554</v>
      </c>
      <c r="D58" s="278">
        <v>465.6</v>
      </c>
      <c r="E58" s="266"/>
      <c r="F58" s="360"/>
    </row>
    <row r="59" spans="1:6">
      <c r="A59" s="366">
        <v>2</v>
      </c>
      <c r="B59" s="358" t="s">
        <v>968</v>
      </c>
      <c r="C59" s="366" t="s">
        <v>554</v>
      </c>
      <c r="D59" s="278">
        <v>243.7</v>
      </c>
      <c r="E59" s="266"/>
      <c r="F59" s="360"/>
    </row>
    <row r="60" spans="1:6">
      <c r="A60" s="400">
        <v>3</v>
      </c>
      <c r="B60" s="358" t="s">
        <v>585</v>
      </c>
      <c r="C60" s="366" t="s">
        <v>554</v>
      </c>
      <c r="D60" s="278">
        <v>302.10000000000002</v>
      </c>
      <c r="E60" s="266"/>
      <c r="F60" s="360"/>
    </row>
    <row r="61" spans="1:6">
      <c r="A61" s="400">
        <v>4</v>
      </c>
      <c r="B61" s="458" t="s">
        <v>969</v>
      </c>
      <c r="C61" s="528" t="s">
        <v>970</v>
      </c>
      <c r="D61" s="278">
        <v>302.10000000000002</v>
      </c>
      <c r="E61" s="306"/>
      <c r="F61" s="360"/>
    </row>
    <row r="62" spans="1:6">
      <c r="A62" s="400">
        <v>5</v>
      </c>
      <c r="B62" s="358" t="s">
        <v>623</v>
      </c>
      <c r="C62" s="366" t="s">
        <v>554</v>
      </c>
      <c r="D62" s="278">
        <v>302.10000000000002</v>
      </c>
      <c r="E62" s="266"/>
      <c r="F62" s="360"/>
    </row>
    <row r="63" spans="1:6">
      <c r="A63" s="400">
        <v>6</v>
      </c>
      <c r="B63" s="358" t="s">
        <v>628</v>
      </c>
      <c r="C63" s="366" t="s">
        <v>554</v>
      </c>
      <c r="D63" s="259">
        <v>302.10000000000002</v>
      </c>
      <c r="E63" s="266"/>
      <c r="F63" s="360"/>
    </row>
    <row r="64" spans="1:6">
      <c r="A64" s="454"/>
      <c r="B64" s="442" t="s">
        <v>629</v>
      </c>
      <c r="C64" s="454"/>
      <c r="D64" s="457"/>
      <c r="E64" s="292"/>
      <c r="F64" s="360"/>
    </row>
    <row r="65" spans="1:6" ht="31.5">
      <c r="A65" s="362">
        <v>1</v>
      </c>
      <c r="B65" s="458" t="s">
        <v>632</v>
      </c>
      <c r="C65" s="362" t="s">
        <v>554</v>
      </c>
      <c r="D65" s="283">
        <v>68.900000000000006</v>
      </c>
      <c r="E65" s="283"/>
      <c r="F65" s="360"/>
    </row>
    <row r="66" spans="1:6" ht="31.5">
      <c r="A66" s="400">
        <v>2</v>
      </c>
      <c r="B66" s="358" t="s">
        <v>634</v>
      </c>
      <c r="C66" s="366" t="s">
        <v>554</v>
      </c>
      <c r="D66" s="259">
        <v>178</v>
      </c>
      <c r="E66" s="266"/>
      <c r="F66" s="360"/>
    </row>
    <row r="67" spans="1:6" ht="31.5">
      <c r="A67" s="459">
        <v>3</v>
      </c>
      <c r="B67" s="460" t="s">
        <v>635</v>
      </c>
      <c r="C67" s="459" t="s">
        <v>586</v>
      </c>
      <c r="D67" s="287">
        <v>8.6999999999999993</v>
      </c>
      <c r="E67" s="288"/>
      <c r="F67" s="360"/>
    </row>
    <row r="68" spans="1:6" ht="31.5">
      <c r="A68" s="359">
        <v>4</v>
      </c>
      <c r="B68" s="358" t="s">
        <v>636</v>
      </c>
      <c r="C68" s="359" t="s">
        <v>554</v>
      </c>
      <c r="D68" s="283">
        <f>D67</f>
        <v>8.6999999999999993</v>
      </c>
      <c r="E68" s="304"/>
      <c r="F68" s="360"/>
    </row>
    <row r="69" spans="1:6" ht="31.5">
      <c r="A69" s="359">
        <v>5</v>
      </c>
      <c r="B69" s="358" t="s">
        <v>637</v>
      </c>
      <c r="C69" s="359" t="s">
        <v>554</v>
      </c>
      <c r="D69" s="263">
        <v>169.4</v>
      </c>
      <c r="E69" s="274"/>
      <c r="F69" s="360"/>
    </row>
    <row r="70" spans="1:6">
      <c r="A70" s="454"/>
      <c r="B70" s="455" t="s">
        <v>638</v>
      </c>
      <c r="C70" s="454"/>
      <c r="D70" s="456"/>
      <c r="E70" s="292"/>
      <c r="F70" s="360"/>
    </row>
    <row r="71" spans="1:6" ht="47.25">
      <c r="A71" s="362">
        <v>1</v>
      </c>
      <c r="B71" s="458" t="s">
        <v>1019</v>
      </c>
      <c r="C71" s="359" t="s">
        <v>554</v>
      </c>
      <c r="D71" s="263">
        <v>89.79</v>
      </c>
      <c r="E71" s="274"/>
      <c r="F71" s="360"/>
    </row>
    <row r="72" spans="1:6" ht="31.5">
      <c r="A72" s="362">
        <v>2</v>
      </c>
      <c r="B72" s="358" t="s">
        <v>640</v>
      </c>
      <c r="C72" s="359" t="s">
        <v>641</v>
      </c>
      <c r="D72" s="263">
        <v>30.5</v>
      </c>
      <c r="E72" s="274"/>
      <c r="F72" s="360"/>
    </row>
    <row r="73" spans="1:6">
      <c r="A73" s="454"/>
      <c r="B73" s="455" t="s">
        <v>643</v>
      </c>
      <c r="C73" s="454"/>
      <c r="D73" s="456"/>
      <c r="E73" s="292"/>
      <c r="F73" s="360"/>
    </row>
    <row r="74" spans="1:6">
      <c r="A74" s="359">
        <v>1</v>
      </c>
      <c r="B74" s="358" t="s">
        <v>1020</v>
      </c>
      <c r="C74" s="359" t="s">
        <v>530</v>
      </c>
      <c r="D74" s="263">
        <v>3.1</v>
      </c>
      <c r="E74" s="274"/>
      <c r="F74" s="360"/>
    </row>
    <row r="75" spans="1:6" ht="16.5">
      <c r="A75" s="470"/>
      <c r="B75" s="471" t="s">
        <v>407</v>
      </c>
      <c r="C75" s="472"/>
      <c r="D75" s="470"/>
      <c r="E75" s="470"/>
      <c r="F75" s="372">
        <f>SUM(F10:F74)</f>
        <v>0</v>
      </c>
    </row>
    <row r="76" spans="1:6" ht="40.5">
      <c r="A76" s="465"/>
      <c r="B76" s="466" t="s">
        <v>1021</v>
      </c>
      <c r="C76" s="467" t="s">
        <v>648</v>
      </c>
      <c r="D76" s="569">
        <f>2778/60</f>
        <v>46.3</v>
      </c>
      <c r="E76" s="469"/>
      <c r="F76" s="360"/>
    </row>
    <row r="77" spans="1:6" ht="16.5">
      <c r="A77" s="470"/>
      <c r="B77" s="471" t="s">
        <v>398</v>
      </c>
      <c r="C77" s="472"/>
      <c r="D77" s="470"/>
      <c r="E77" s="470"/>
      <c r="F77" s="372">
        <f>F75+F76</f>
        <v>0</v>
      </c>
    </row>
    <row r="80" spans="1:6" s="104" customFormat="1" ht="36" customHeight="1">
      <c r="A80" s="474"/>
      <c r="B80" s="327" t="s">
        <v>649</v>
      </c>
      <c r="C80" s="327"/>
      <c r="D80" s="327"/>
      <c r="E80" s="327"/>
      <c r="F80" s="327"/>
    </row>
  </sheetData>
  <mergeCells count="12">
    <mergeCell ref="F6:F7"/>
    <mergeCell ref="B80:F80"/>
    <mergeCell ref="A1:F1"/>
    <mergeCell ref="A2:F2"/>
    <mergeCell ref="A3:F3"/>
    <mergeCell ref="A4:F4"/>
    <mergeCell ref="A5:F5"/>
    <mergeCell ref="A6:A7"/>
    <mergeCell ref="B6:B7"/>
    <mergeCell ref="C6:C7"/>
    <mergeCell ref="D6:D7"/>
    <mergeCell ref="E6:E7"/>
  </mergeCells>
  <pageMargins left="0.25" right="0.25" top="0.75" bottom="0.75" header="0.3" footer="0.3"/>
  <pageSetup paperSize="9" scale="80" orientation="portrait" verticalDpi="4294967293"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2"/>
  <sheetViews>
    <sheetView topLeftCell="A3" zoomScaleNormal="100" workbookViewId="0">
      <selection activeCell="B8" sqref="B8"/>
    </sheetView>
  </sheetViews>
  <sheetFormatPr defaultRowHeight="12.75"/>
  <cols>
    <col min="1" max="1" width="7.85546875" style="104" customWidth="1"/>
    <col min="2" max="2" width="51.28515625" style="104" customWidth="1"/>
    <col min="3" max="3" width="7.42578125" style="104" customWidth="1"/>
    <col min="4" max="4" width="6.85546875" style="104" bestFit="1" customWidth="1"/>
    <col min="5" max="5" width="7.42578125" style="104" customWidth="1"/>
    <col min="6" max="6" width="8.140625" style="104" customWidth="1"/>
    <col min="7" max="16384" width="9.140625" style="104"/>
  </cols>
  <sheetData>
    <row r="1" spans="1:7" s="199" customFormat="1" ht="32.25" customHeight="1">
      <c r="A1" s="231" t="str">
        <f>'N4-1'!A1:F1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1022</v>
      </c>
      <c r="B3" s="330"/>
      <c r="C3" s="330"/>
      <c r="D3" s="330"/>
      <c r="E3" s="330"/>
      <c r="F3" s="330"/>
    </row>
    <row r="4" spans="1:7" s="335" customFormat="1" ht="20.25" customHeight="1">
      <c r="A4" s="377" t="s">
        <v>1023</v>
      </c>
      <c r="B4" s="377"/>
      <c r="C4" s="377"/>
      <c r="D4" s="377"/>
      <c r="E4" s="377"/>
      <c r="F4" s="377"/>
      <c r="G4" s="378"/>
    </row>
    <row r="5" spans="1:7" s="199" customFormat="1" ht="19.5" customHeight="1" thickBot="1">
      <c r="A5" s="379" t="s">
        <v>522</v>
      </c>
      <c r="B5" s="379"/>
      <c r="C5" s="379"/>
      <c r="D5" s="379"/>
      <c r="E5" s="379"/>
      <c r="F5" s="379"/>
      <c r="G5" s="380"/>
    </row>
    <row r="6" spans="1:7" s="502" customFormat="1" ht="62.25" customHeight="1">
      <c r="A6" s="547" t="s">
        <v>523</v>
      </c>
      <c r="B6" s="548" t="s">
        <v>524</v>
      </c>
      <c r="C6" s="552" t="s">
        <v>525</v>
      </c>
      <c r="D6" s="570" t="s">
        <v>411</v>
      </c>
      <c r="E6" s="552" t="s">
        <v>526</v>
      </c>
      <c r="F6" s="571" t="s">
        <v>527</v>
      </c>
    </row>
    <row r="7" spans="1:7" s="508" customFormat="1" ht="34.9" customHeight="1" thickBot="1">
      <c r="A7" s="553"/>
      <c r="B7" s="554"/>
      <c r="C7" s="558"/>
      <c r="D7" s="572"/>
      <c r="E7" s="558"/>
      <c r="F7" s="573"/>
    </row>
    <row r="8" spans="1:7" s="508" customFormat="1" ht="16.5" thickBot="1">
      <c r="A8" s="574">
        <v>1</v>
      </c>
      <c r="B8" s="575">
        <v>2</v>
      </c>
      <c r="C8" s="574">
        <v>3</v>
      </c>
      <c r="D8" s="576">
        <v>4</v>
      </c>
      <c r="E8" s="577">
        <v>5</v>
      </c>
      <c r="F8" s="578">
        <v>6</v>
      </c>
    </row>
    <row r="9" spans="1:7" s="508" customFormat="1" ht="47.25">
      <c r="A9" s="359">
        <v>1</v>
      </c>
      <c r="B9" s="358" t="s">
        <v>654</v>
      </c>
      <c r="C9" s="359" t="s">
        <v>554</v>
      </c>
      <c r="D9" s="263">
        <v>23.35</v>
      </c>
      <c r="E9" s="274"/>
      <c r="F9" s="360"/>
    </row>
    <row r="10" spans="1:7" s="225" customFormat="1" ht="31.5">
      <c r="A10" s="579" t="s">
        <v>535</v>
      </c>
      <c r="B10" s="358" t="s">
        <v>655</v>
      </c>
      <c r="C10" s="362" t="s">
        <v>530</v>
      </c>
      <c r="D10" s="363">
        <f>D9*0.03</f>
        <v>0.70050000000000001</v>
      </c>
      <c r="E10" s="283"/>
      <c r="F10" s="360"/>
    </row>
    <row r="11" spans="1:7" s="225" customFormat="1" ht="47.25">
      <c r="A11" s="359">
        <v>2</v>
      </c>
      <c r="B11" s="358" t="s">
        <v>885</v>
      </c>
      <c r="C11" s="359" t="s">
        <v>554</v>
      </c>
      <c r="D11" s="263">
        <v>22.85</v>
      </c>
      <c r="E11" s="274"/>
      <c r="F11" s="360"/>
    </row>
    <row r="12" spans="1:7" ht="31.5">
      <c r="A12" s="359" t="s">
        <v>545</v>
      </c>
      <c r="B12" s="358" t="s">
        <v>655</v>
      </c>
      <c r="C12" s="362" t="s">
        <v>530</v>
      </c>
      <c r="D12" s="363">
        <f>D11*0.03</f>
        <v>0.6855</v>
      </c>
      <c r="E12" s="274"/>
      <c r="F12" s="360"/>
    </row>
    <row r="13" spans="1:7" ht="47.25">
      <c r="A13" s="359">
        <v>3</v>
      </c>
      <c r="B13" s="358" t="s">
        <v>658</v>
      </c>
      <c r="C13" s="359" t="s">
        <v>554</v>
      </c>
      <c r="D13" s="283">
        <v>1.6</v>
      </c>
      <c r="E13" s="274"/>
      <c r="F13" s="360"/>
    </row>
    <row r="14" spans="1:7" ht="47.25">
      <c r="A14" s="366">
        <v>4</v>
      </c>
      <c r="B14" s="358" t="s">
        <v>659</v>
      </c>
      <c r="C14" s="366" t="s">
        <v>530</v>
      </c>
      <c r="D14" s="278">
        <v>0.45</v>
      </c>
      <c r="E14" s="266"/>
      <c r="F14" s="360"/>
    </row>
    <row r="15" spans="1:7" s="225" customFormat="1" ht="31.5">
      <c r="A15" s="400">
        <v>5</v>
      </c>
      <c r="B15" s="358" t="s">
        <v>660</v>
      </c>
      <c r="C15" s="366" t="s">
        <v>554</v>
      </c>
      <c r="D15" s="259">
        <v>18.600000000000001</v>
      </c>
      <c r="E15" s="266"/>
      <c r="F15" s="360"/>
    </row>
    <row r="16" spans="1:7" s="225" customFormat="1" ht="31.5">
      <c r="A16" s="400">
        <v>6</v>
      </c>
      <c r="B16" s="358" t="s">
        <v>661</v>
      </c>
      <c r="C16" s="366" t="s">
        <v>554</v>
      </c>
      <c r="D16" s="259">
        <f>D15</f>
        <v>18.600000000000001</v>
      </c>
      <c r="E16" s="266"/>
      <c r="F16" s="360"/>
    </row>
    <row r="17" spans="1:6" s="225" customFormat="1" ht="15.75">
      <c r="A17" s="362">
        <v>7</v>
      </c>
      <c r="B17" s="358" t="s">
        <v>662</v>
      </c>
      <c r="C17" s="359" t="s">
        <v>554</v>
      </c>
      <c r="D17" s="263">
        <f>D15</f>
        <v>18.600000000000001</v>
      </c>
      <c r="E17" s="274"/>
      <c r="F17" s="360"/>
    </row>
    <row r="18" spans="1:6" ht="15.75">
      <c r="A18" s="404"/>
      <c r="B18" s="404" t="s">
        <v>407</v>
      </c>
      <c r="C18" s="404"/>
      <c r="D18" s="405"/>
      <c r="E18" s="406"/>
      <c r="F18" s="580">
        <f>SUM(F9:F17)</f>
        <v>0</v>
      </c>
    </row>
    <row r="22" spans="1:6">
      <c r="F22" s="581"/>
    </row>
  </sheetData>
  <mergeCells count="11">
    <mergeCell ref="F6:F7"/>
    <mergeCell ref="A1:F1"/>
    <mergeCell ref="A2:F2"/>
    <mergeCell ref="A3:F3"/>
    <mergeCell ref="A4:F4"/>
    <mergeCell ref="A5:F5"/>
    <mergeCell ref="A6:A7"/>
    <mergeCell ref="B6:B7"/>
    <mergeCell ref="C6:C7"/>
    <mergeCell ref="D6:D7"/>
    <mergeCell ref="E6:E7"/>
  </mergeCells>
  <pageMargins left="0.7" right="0.7" top="0.75" bottom="0.75" header="0.3" footer="0.3"/>
  <pageSetup paperSize="9"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6"/>
  <sheetViews>
    <sheetView topLeftCell="A6"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9" s="199" customFormat="1" ht="32.25" customHeight="1">
      <c r="A1" s="231" t="str">
        <f>'N4-2'!A1:F1</f>
        <v>yazbegis, aragvis, fSav-xevsureTisa da TuSeTis dacul teritoriebze arsebuli 7 qoxis saxarjTaRricxvo dokumentacia.</v>
      </c>
      <c r="B1" s="198"/>
      <c r="C1" s="198"/>
      <c r="D1" s="198"/>
      <c r="E1" s="198"/>
      <c r="F1" s="198"/>
    </row>
    <row r="2" spans="1:9" s="376" customFormat="1" ht="13.5" customHeight="1">
      <c r="A2" s="375" t="s">
        <v>664</v>
      </c>
      <c r="B2" s="375"/>
      <c r="C2" s="375"/>
      <c r="D2" s="375"/>
      <c r="E2" s="375"/>
      <c r="F2" s="375"/>
    </row>
    <row r="3" spans="1:9" s="376" customFormat="1" ht="19.5" customHeight="1">
      <c r="A3" s="330" t="s">
        <v>1006</v>
      </c>
      <c r="B3" s="330"/>
      <c r="C3" s="330"/>
      <c r="D3" s="330"/>
      <c r="E3" s="330"/>
      <c r="F3" s="330"/>
    </row>
    <row r="4" spans="1:9" s="335" customFormat="1" ht="20.25" customHeight="1">
      <c r="A4" s="377" t="s">
        <v>1024</v>
      </c>
      <c r="B4" s="377"/>
      <c r="C4" s="377"/>
      <c r="D4" s="377"/>
      <c r="E4" s="377"/>
      <c r="F4" s="377"/>
      <c r="G4" s="378"/>
    </row>
    <row r="5" spans="1:9" s="199" customFormat="1" ht="19.5" customHeight="1" thickBot="1">
      <c r="A5" s="379" t="s">
        <v>511</v>
      </c>
      <c r="B5" s="379"/>
      <c r="C5" s="379"/>
      <c r="D5" s="379"/>
      <c r="E5" s="379"/>
      <c r="F5" s="379"/>
      <c r="G5" s="380"/>
    </row>
    <row r="6" spans="1:9" ht="87.6" customHeight="1" thickBot="1">
      <c r="A6" s="381" t="s">
        <v>523</v>
      </c>
      <c r="B6" s="382" t="s">
        <v>524</v>
      </c>
      <c r="C6" s="383" t="s">
        <v>525</v>
      </c>
      <c r="D6" s="384" t="s">
        <v>411</v>
      </c>
      <c r="E6" s="385" t="s">
        <v>526</v>
      </c>
      <c r="F6" s="386" t="s">
        <v>527</v>
      </c>
    </row>
    <row r="7" spans="1:9" ht="16.5" thickBot="1">
      <c r="A7" s="387">
        <v>1</v>
      </c>
      <c r="B7" s="388">
        <v>2</v>
      </c>
      <c r="C7" s="389">
        <v>3</v>
      </c>
      <c r="D7" s="390" t="s">
        <v>488</v>
      </c>
      <c r="E7" s="391" t="s">
        <v>513</v>
      </c>
      <c r="F7" s="392" t="s">
        <v>515</v>
      </c>
    </row>
    <row r="8" spans="1:9" s="397" customFormat="1" ht="123.75" customHeight="1">
      <c r="A8" s="393" t="s">
        <v>5</v>
      </c>
      <c r="B8" s="394" t="s">
        <v>666</v>
      </c>
      <c r="C8" s="393" t="s">
        <v>667</v>
      </c>
      <c r="D8" s="395">
        <v>1</v>
      </c>
      <c r="E8" s="396"/>
      <c r="F8" s="396"/>
    </row>
    <row r="9" spans="1:9" s="397" customFormat="1" ht="53.25" customHeight="1">
      <c r="A9" s="393" t="s">
        <v>7</v>
      </c>
      <c r="B9" s="394" t="s">
        <v>1025</v>
      </c>
      <c r="C9" s="393" t="s">
        <v>669</v>
      </c>
      <c r="D9" s="395">
        <v>1</v>
      </c>
      <c r="E9" s="396"/>
      <c r="F9" s="396"/>
    </row>
    <row r="10" spans="1:9" s="398" customFormat="1" ht="76.5">
      <c r="A10" s="393" t="s">
        <v>487</v>
      </c>
      <c r="B10" s="394" t="s">
        <v>670</v>
      </c>
      <c r="C10" s="393" t="s">
        <v>667</v>
      </c>
      <c r="D10" s="395">
        <v>1</v>
      </c>
      <c r="E10" s="396"/>
      <c r="F10" s="396"/>
      <c r="H10" s="397"/>
      <c r="I10" s="397"/>
    </row>
    <row r="11" spans="1:9" s="397" customFormat="1" ht="31.5" customHeight="1">
      <c r="A11" s="393" t="s">
        <v>488</v>
      </c>
      <c r="B11" s="394" t="s">
        <v>671</v>
      </c>
      <c r="C11" s="393" t="s">
        <v>669</v>
      </c>
      <c r="D11" s="395">
        <v>1</v>
      </c>
      <c r="E11" s="396"/>
      <c r="F11" s="396"/>
    </row>
    <row r="12" spans="1:9" s="398" customFormat="1" ht="62.25" customHeight="1">
      <c r="A12" s="393" t="s">
        <v>513</v>
      </c>
      <c r="B12" s="394" t="s">
        <v>1026</v>
      </c>
      <c r="C12" s="393" t="s">
        <v>669</v>
      </c>
      <c r="D12" s="395">
        <v>1</v>
      </c>
      <c r="E12" s="396"/>
      <c r="F12" s="396"/>
      <c r="H12" s="397"/>
      <c r="I12" s="397"/>
    </row>
    <row r="13" spans="1:9" s="398" customFormat="1" ht="31.5" customHeight="1">
      <c r="A13" s="393" t="s">
        <v>515</v>
      </c>
      <c r="B13" s="394" t="s">
        <v>673</v>
      </c>
      <c r="C13" s="393" t="s">
        <v>674</v>
      </c>
      <c r="D13" s="395">
        <v>3</v>
      </c>
      <c r="E13" s="396"/>
      <c r="F13" s="396"/>
      <c r="H13" s="397"/>
      <c r="I13" s="397"/>
    </row>
    <row r="14" spans="1:9" s="398" customFormat="1" ht="31.5" customHeight="1">
      <c r="A14" s="393" t="s">
        <v>675</v>
      </c>
      <c r="B14" s="394" t="s">
        <v>676</v>
      </c>
      <c r="C14" s="393" t="s">
        <v>667</v>
      </c>
      <c r="D14" s="395">
        <v>2</v>
      </c>
      <c r="E14" s="396"/>
      <c r="F14" s="396"/>
      <c r="G14" s="399"/>
      <c r="H14" s="397"/>
      <c r="I14" s="397"/>
    </row>
    <row r="15" spans="1:9" s="398" customFormat="1" ht="22.5" customHeight="1">
      <c r="A15" s="393" t="s">
        <v>686</v>
      </c>
      <c r="B15" s="401" t="s">
        <v>677</v>
      </c>
      <c r="C15" s="393" t="s">
        <v>667</v>
      </c>
      <c r="D15" s="402">
        <v>1</v>
      </c>
      <c r="E15" s="403"/>
      <c r="F15" s="396"/>
      <c r="H15" s="397"/>
      <c r="I15" s="397"/>
    </row>
    <row r="16" spans="1:9" s="398" customFormat="1" ht="20.25" customHeight="1">
      <c r="A16" s="404"/>
      <c r="B16" s="404" t="s">
        <v>407</v>
      </c>
      <c r="C16" s="404"/>
      <c r="D16" s="405"/>
      <c r="E16" s="406"/>
      <c r="F16" s="407">
        <f>SUM(F8:F15)</f>
        <v>0</v>
      </c>
    </row>
  </sheetData>
  <protectedRanges>
    <protectedRange sqref="B8:D8 B10:D10" name="Диапазон1_1_2"/>
  </protectedRanges>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5"/>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9" s="199" customFormat="1" ht="32.25" customHeight="1">
      <c r="A1" s="231" t="str">
        <f>'N4-3'!A1:F1</f>
        <v>yazbegis, aragvis, fSav-xevsureTisa da TuSeTis dacul teritoriebze arsebuli 7 qoxis saxarjTaRricxvo dokumentacia.</v>
      </c>
      <c r="B1" s="198"/>
      <c r="C1" s="198"/>
      <c r="D1" s="198"/>
      <c r="E1" s="198"/>
      <c r="F1" s="198"/>
    </row>
    <row r="2" spans="1:9" s="376" customFormat="1" ht="13.5" customHeight="1">
      <c r="A2" s="375" t="s">
        <v>664</v>
      </c>
      <c r="B2" s="375"/>
      <c r="C2" s="375"/>
      <c r="D2" s="375"/>
      <c r="E2" s="375"/>
      <c r="F2" s="375"/>
    </row>
    <row r="3" spans="1:9" s="376" customFormat="1" ht="19.5" customHeight="1">
      <c r="A3" s="330" t="s">
        <v>1006</v>
      </c>
      <c r="B3" s="330"/>
      <c r="C3" s="330"/>
      <c r="D3" s="330"/>
      <c r="E3" s="330"/>
      <c r="F3" s="330"/>
    </row>
    <row r="4" spans="1:9" s="335" customFormat="1" ht="20.25" customHeight="1">
      <c r="A4" s="377" t="s">
        <v>1027</v>
      </c>
      <c r="B4" s="377"/>
      <c r="C4" s="377"/>
      <c r="D4" s="377"/>
      <c r="E4" s="377"/>
      <c r="F4" s="377"/>
      <c r="G4" s="378"/>
    </row>
    <row r="5" spans="1:9" s="199" customFormat="1" ht="19.5" customHeight="1" thickBot="1">
      <c r="A5" s="379" t="s">
        <v>512</v>
      </c>
      <c r="B5" s="379"/>
      <c r="C5" s="379"/>
      <c r="D5" s="379"/>
      <c r="E5" s="379"/>
      <c r="F5" s="379"/>
      <c r="G5" s="380"/>
    </row>
    <row r="6" spans="1:9" ht="87.6" customHeight="1" thickBot="1">
      <c r="A6" s="381" t="s">
        <v>523</v>
      </c>
      <c r="B6" s="382" t="s">
        <v>524</v>
      </c>
      <c r="C6" s="383" t="s">
        <v>525</v>
      </c>
      <c r="D6" s="384" t="s">
        <v>411</v>
      </c>
      <c r="E6" s="385" t="s">
        <v>526</v>
      </c>
      <c r="F6" s="386" t="s">
        <v>527</v>
      </c>
    </row>
    <row r="7" spans="1:9" ht="16.5" thickBot="1">
      <c r="A7" s="387">
        <v>1</v>
      </c>
      <c r="B7" s="388">
        <v>2</v>
      </c>
      <c r="C7" s="389">
        <v>3</v>
      </c>
      <c r="D7" s="390" t="s">
        <v>488</v>
      </c>
      <c r="E7" s="391" t="s">
        <v>513</v>
      </c>
      <c r="F7" s="392" t="s">
        <v>515</v>
      </c>
    </row>
    <row r="8" spans="1:9" s="397" customFormat="1" ht="73.5" customHeight="1">
      <c r="A8" s="393" t="s">
        <v>5</v>
      </c>
      <c r="B8" s="394" t="s">
        <v>679</v>
      </c>
      <c r="C8" s="393" t="s">
        <v>674</v>
      </c>
      <c r="D8" s="395">
        <v>1</v>
      </c>
      <c r="E8" s="396"/>
      <c r="F8" s="396"/>
    </row>
    <row r="9" spans="1:9" s="397" customFormat="1" ht="53.25" customHeight="1">
      <c r="A9" s="393" t="s">
        <v>7</v>
      </c>
      <c r="B9" s="394" t="s">
        <v>680</v>
      </c>
      <c r="C9" s="393" t="s">
        <v>674</v>
      </c>
      <c r="D9" s="395">
        <v>1</v>
      </c>
      <c r="E9" s="396"/>
      <c r="F9" s="396"/>
    </row>
    <row r="10" spans="1:9" s="398" customFormat="1" ht="13.5">
      <c r="A10" s="393" t="s">
        <v>487</v>
      </c>
      <c r="B10" s="394" t="s">
        <v>681</v>
      </c>
      <c r="C10" s="393" t="s">
        <v>674</v>
      </c>
      <c r="D10" s="395">
        <v>22</v>
      </c>
      <c r="E10" s="396"/>
      <c r="F10" s="396"/>
      <c r="H10" s="397"/>
      <c r="I10" s="397"/>
    </row>
    <row r="11" spans="1:9" s="397" customFormat="1" ht="30.75" customHeight="1">
      <c r="A11" s="393" t="s">
        <v>488</v>
      </c>
      <c r="B11" s="394" t="s">
        <v>682</v>
      </c>
      <c r="C11" s="393" t="s">
        <v>674</v>
      </c>
      <c r="D11" s="395">
        <v>22</v>
      </c>
      <c r="E11" s="396"/>
      <c r="F11" s="396"/>
    </row>
    <row r="12" spans="1:9" s="398" customFormat="1" ht="52.5" customHeight="1">
      <c r="A12" s="393" t="s">
        <v>513</v>
      </c>
      <c r="B12" s="394" t="s">
        <v>683</v>
      </c>
      <c r="C12" s="393" t="s">
        <v>674</v>
      </c>
      <c r="D12" s="395">
        <v>1</v>
      </c>
      <c r="E12" s="396"/>
      <c r="F12" s="396"/>
      <c r="H12" s="397"/>
      <c r="I12" s="397"/>
    </row>
    <row r="13" spans="1:9" s="398" customFormat="1" ht="22.5" customHeight="1">
      <c r="A13" s="393" t="s">
        <v>515</v>
      </c>
      <c r="B13" s="394" t="s">
        <v>684</v>
      </c>
      <c r="C13" s="393" t="s">
        <v>674</v>
      </c>
      <c r="D13" s="395">
        <v>1</v>
      </c>
      <c r="E13" s="396"/>
      <c r="F13" s="396"/>
      <c r="H13" s="397"/>
      <c r="I13" s="397"/>
    </row>
    <row r="14" spans="1:9" s="398" customFormat="1" ht="22.5" customHeight="1">
      <c r="A14" s="393" t="s">
        <v>675</v>
      </c>
      <c r="B14" s="394" t="s">
        <v>685</v>
      </c>
      <c r="C14" s="393" t="s">
        <v>674</v>
      </c>
      <c r="D14" s="395">
        <v>12</v>
      </c>
      <c r="E14" s="396"/>
      <c r="F14" s="396"/>
      <c r="G14" s="399"/>
      <c r="H14" s="397"/>
      <c r="I14" s="397"/>
    </row>
    <row r="15" spans="1:9" s="398" customFormat="1" ht="22.5" customHeight="1">
      <c r="A15" s="393" t="s">
        <v>686</v>
      </c>
      <c r="B15" s="394" t="s">
        <v>687</v>
      </c>
      <c r="C15" s="393" t="s">
        <v>674</v>
      </c>
      <c r="D15" s="395">
        <v>0</v>
      </c>
      <c r="E15" s="396"/>
      <c r="F15" s="396"/>
      <c r="H15" s="397"/>
      <c r="I15" s="397"/>
    </row>
    <row r="16" spans="1:9" s="398" customFormat="1" ht="20.25" customHeight="1">
      <c r="A16" s="393" t="s">
        <v>688</v>
      </c>
      <c r="B16" s="394" t="s">
        <v>689</v>
      </c>
      <c r="C16" s="393" t="s">
        <v>674</v>
      </c>
      <c r="D16" s="395">
        <v>2</v>
      </c>
      <c r="E16" s="396"/>
      <c r="F16" s="396"/>
      <c r="H16" s="397"/>
      <c r="I16" s="397"/>
    </row>
    <row r="17" spans="1:9" ht="38.25">
      <c r="A17" s="393" t="s">
        <v>690</v>
      </c>
      <c r="B17" s="394" t="s">
        <v>691</v>
      </c>
      <c r="C17" s="393" t="s">
        <v>674</v>
      </c>
      <c r="D17" s="395">
        <v>3</v>
      </c>
      <c r="E17" s="396"/>
      <c r="F17" s="396"/>
      <c r="H17" s="397"/>
      <c r="I17" s="397"/>
    </row>
    <row r="18" spans="1:9" ht="25.5">
      <c r="A18" s="393" t="s">
        <v>692</v>
      </c>
      <c r="B18" s="394" t="s">
        <v>693</v>
      </c>
      <c r="C18" s="393" t="s">
        <v>674</v>
      </c>
      <c r="D18" s="395">
        <v>3</v>
      </c>
      <c r="E18" s="396"/>
      <c r="F18" s="396"/>
      <c r="H18" s="397"/>
      <c r="I18" s="397"/>
    </row>
    <row r="19" spans="1:9" ht="242.25">
      <c r="A19" s="393" t="s">
        <v>694</v>
      </c>
      <c r="B19" s="394" t="s">
        <v>695</v>
      </c>
      <c r="C19" s="393" t="s">
        <v>667</v>
      </c>
      <c r="D19" s="395">
        <v>3</v>
      </c>
      <c r="E19" s="396"/>
      <c r="F19" s="396"/>
      <c r="H19" s="397"/>
      <c r="I19" s="397"/>
    </row>
    <row r="20" spans="1:9">
      <c r="A20" s="393" t="s">
        <v>696</v>
      </c>
      <c r="B20" s="410" t="s">
        <v>676</v>
      </c>
      <c r="C20" s="393" t="s">
        <v>667</v>
      </c>
      <c r="D20" s="395">
        <v>1</v>
      </c>
      <c r="E20" s="396"/>
      <c r="F20" s="396"/>
      <c r="H20" s="397"/>
      <c r="I20" s="397"/>
    </row>
    <row r="21" spans="1:9" ht="51">
      <c r="A21" s="393" t="s">
        <v>697</v>
      </c>
      <c r="B21" s="394" t="s">
        <v>890</v>
      </c>
      <c r="C21" s="393" t="s">
        <v>667</v>
      </c>
      <c r="D21" s="395">
        <v>1</v>
      </c>
      <c r="E21" s="396"/>
      <c r="F21" s="396"/>
      <c r="H21" s="397"/>
      <c r="I21" s="397"/>
    </row>
    <row r="22" spans="1:9">
      <c r="A22" s="393" t="s">
        <v>699</v>
      </c>
      <c r="B22" s="410" t="s">
        <v>676</v>
      </c>
      <c r="C22" s="393" t="s">
        <v>667</v>
      </c>
      <c r="D22" s="395">
        <v>1</v>
      </c>
      <c r="E22" s="396"/>
      <c r="F22" s="396"/>
      <c r="H22" s="397"/>
      <c r="I22" s="397"/>
    </row>
    <row r="23" spans="1:9" ht="89.25">
      <c r="A23" s="393" t="s">
        <v>700</v>
      </c>
      <c r="B23" s="394" t="s">
        <v>701</v>
      </c>
      <c r="C23" s="393" t="s">
        <v>667</v>
      </c>
      <c r="D23" s="395">
        <v>1</v>
      </c>
      <c r="E23" s="396"/>
      <c r="F23" s="396"/>
      <c r="H23" s="397"/>
      <c r="I23" s="397"/>
    </row>
    <row r="24" spans="1:9" s="398" customFormat="1" ht="22.5" customHeight="1">
      <c r="A24" s="400">
        <v>17</v>
      </c>
      <c r="B24" s="401" t="s">
        <v>702</v>
      </c>
      <c r="C24" s="393" t="s">
        <v>667</v>
      </c>
      <c r="D24" s="402">
        <v>1</v>
      </c>
      <c r="E24" s="403"/>
      <c r="F24" s="396"/>
      <c r="H24" s="397"/>
      <c r="I24" s="397"/>
    </row>
    <row r="25" spans="1:9" s="398" customFormat="1" ht="20.25" customHeight="1">
      <c r="A25" s="404"/>
      <c r="B25" s="404" t="s">
        <v>407</v>
      </c>
      <c r="C25" s="404"/>
      <c r="D25" s="405"/>
      <c r="E25" s="406"/>
      <c r="F25" s="407">
        <f>SUM(F8:F24)</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13"/>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7" s="199" customFormat="1" ht="32.25" customHeight="1">
      <c r="A1" s="231" t="str">
        <f>'N4-4'!A1:F1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1006</v>
      </c>
      <c r="B3" s="330"/>
      <c r="C3" s="330"/>
      <c r="D3" s="330"/>
      <c r="E3" s="330"/>
      <c r="F3" s="330"/>
    </row>
    <row r="4" spans="1:7" s="335" customFormat="1" ht="20.25" customHeight="1">
      <c r="A4" s="377" t="s">
        <v>1028</v>
      </c>
      <c r="B4" s="377"/>
      <c r="C4" s="377"/>
      <c r="D4" s="377"/>
      <c r="E4" s="377"/>
      <c r="F4" s="377"/>
      <c r="G4" s="378"/>
    </row>
    <row r="5" spans="1:7" s="199" customFormat="1" ht="19.5" customHeight="1" thickBot="1">
      <c r="A5" s="379" t="s">
        <v>514</v>
      </c>
      <c r="B5" s="379"/>
      <c r="C5" s="379"/>
      <c r="D5" s="379"/>
      <c r="E5" s="379"/>
      <c r="F5" s="379"/>
      <c r="G5" s="380"/>
    </row>
    <row r="6" spans="1:7" ht="87.6" customHeight="1">
      <c r="A6" s="381" t="s">
        <v>523</v>
      </c>
      <c r="B6" s="382" t="s">
        <v>524</v>
      </c>
      <c r="C6" s="383" t="s">
        <v>525</v>
      </c>
      <c r="D6" s="384" t="s">
        <v>411</v>
      </c>
      <c r="E6" s="385" t="s">
        <v>526</v>
      </c>
      <c r="F6" s="386" t="s">
        <v>527</v>
      </c>
    </row>
    <row r="7" spans="1:7">
      <c r="A7" s="411">
        <v>1</v>
      </c>
      <c r="B7" s="411">
        <v>2</v>
      </c>
      <c r="C7" s="412">
        <v>3</v>
      </c>
      <c r="D7" s="413" t="s">
        <v>488</v>
      </c>
      <c r="E7" s="414" t="s">
        <v>513</v>
      </c>
      <c r="F7" s="413" t="s">
        <v>515</v>
      </c>
    </row>
    <row r="8" spans="1:7" s="397" customFormat="1" ht="28.5" customHeight="1">
      <c r="A8" s="393" t="s">
        <v>5</v>
      </c>
      <c r="B8" s="415" t="s">
        <v>704</v>
      </c>
      <c r="C8" s="416" t="s">
        <v>705</v>
      </c>
      <c r="D8" s="417">
        <v>295</v>
      </c>
      <c r="E8" s="418"/>
      <c r="F8" s="419"/>
    </row>
    <row r="9" spans="1:7" s="397" customFormat="1" ht="21.75" customHeight="1">
      <c r="A9" s="393" t="s">
        <v>7</v>
      </c>
      <c r="B9" s="420" t="s">
        <v>706</v>
      </c>
      <c r="C9" s="393" t="s">
        <v>707</v>
      </c>
      <c r="D9" s="417">
        <v>240</v>
      </c>
      <c r="E9" s="421"/>
      <c r="F9" s="419"/>
    </row>
    <row r="10" spans="1:7" s="398" customFormat="1" ht="42" customHeight="1">
      <c r="A10" s="393" t="s">
        <v>487</v>
      </c>
      <c r="B10" s="420" t="s">
        <v>708</v>
      </c>
      <c r="C10" s="393" t="s">
        <v>709</v>
      </c>
      <c r="D10" s="395">
        <v>55</v>
      </c>
      <c r="E10" s="396"/>
      <c r="F10" s="396"/>
    </row>
    <row r="11" spans="1:7" s="397" customFormat="1" ht="28.5" customHeight="1">
      <c r="A11" s="422">
        <f t="shared" ref="A11:A74" si="0">A10+1</f>
        <v>4</v>
      </c>
      <c r="B11" s="394" t="s">
        <v>1029</v>
      </c>
      <c r="C11" s="393" t="s">
        <v>711</v>
      </c>
      <c r="D11" s="395">
        <v>350</v>
      </c>
      <c r="E11" s="396"/>
      <c r="F11" s="396"/>
    </row>
    <row r="12" spans="1:7" s="397" customFormat="1" ht="21.75" customHeight="1">
      <c r="A12" s="422">
        <f t="shared" si="0"/>
        <v>5</v>
      </c>
      <c r="B12" s="394" t="s">
        <v>712</v>
      </c>
      <c r="C12" s="393" t="s">
        <v>711</v>
      </c>
      <c r="D12" s="395">
        <v>8</v>
      </c>
      <c r="E12" s="396"/>
      <c r="F12" s="396"/>
    </row>
    <row r="13" spans="1:7" s="398" customFormat="1" ht="21.75" customHeight="1">
      <c r="A13" s="422">
        <f t="shared" si="0"/>
        <v>6</v>
      </c>
      <c r="B13" s="394" t="s">
        <v>713</v>
      </c>
      <c r="C13" s="393" t="s">
        <v>711</v>
      </c>
      <c r="D13" s="395">
        <v>12</v>
      </c>
      <c r="E13" s="396"/>
      <c r="F13" s="396"/>
    </row>
    <row r="14" spans="1:7" s="397" customFormat="1" ht="21.75" customHeight="1">
      <c r="A14" s="422">
        <f t="shared" si="0"/>
        <v>7</v>
      </c>
      <c r="B14" s="394" t="s">
        <v>714</v>
      </c>
      <c r="C14" s="393" t="s">
        <v>711</v>
      </c>
      <c r="D14" s="395">
        <v>20</v>
      </c>
      <c r="E14" s="396"/>
      <c r="F14" s="396"/>
    </row>
    <row r="15" spans="1:7" s="398" customFormat="1" ht="21.75" customHeight="1">
      <c r="A15" s="422">
        <f t="shared" si="0"/>
        <v>8</v>
      </c>
      <c r="B15" s="394" t="s">
        <v>715</v>
      </c>
      <c r="C15" s="393" t="s">
        <v>51</v>
      </c>
      <c r="D15" s="395">
        <v>1</v>
      </c>
      <c r="E15" s="396"/>
      <c r="F15" s="396"/>
    </row>
    <row r="16" spans="1:7" s="398" customFormat="1" ht="21.75" customHeight="1">
      <c r="A16" s="422">
        <f t="shared" si="0"/>
        <v>9</v>
      </c>
      <c r="B16" s="394" t="s">
        <v>716</v>
      </c>
      <c r="C16" s="393" t="s">
        <v>51</v>
      </c>
      <c r="D16" s="395">
        <v>20</v>
      </c>
      <c r="E16" s="396"/>
      <c r="F16" s="396"/>
      <c r="G16" s="399"/>
    </row>
    <row r="17" spans="1:6" s="398" customFormat="1" ht="21.75" customHeight="1">
      <c r="A17" s="422">
        <f t="shared" si="0"/>
        <v>10</v>
      </c>
      <c r="B17" s="394" t="s">
        <v>717</v>
      </c>
      <c r="C17" s="393" t="s">
        <v>51</v>
      </c>
      <c r="D17" s="423">
        <v>33.333333333333336</v>
      </c>
      <c r="E17" s="396"/>
      <c r="F17" s="396"/>
    </row>
    <row r="18" spans="1:6" s="398" customFormat="1" ht="21.75" customHeight="1">
      <c r="A18" s="422">
        <f t="shared" si="0"/>
        <v>11</v>
      </c>
      <c r="B18" s="394" t="s">
        <v>718</v>
      </c>
      <c r="C18" s="393" t="s">
        <v>711</v>
      </c>
      <c r="D18" s="395">
        <v>8</v>
      </c>
      <c r="E18" s="396"/>
      <c r="F18" s="396"/>
    </row>
    <row r="19" spans="1:6" ht="21.75" customHeight="1">
      <c r="A19" s="422">
        <f t="shared" si="0"/>
        <v>12</v>
      </c>
      <c r="B19" s="394" t="s">
        <v>719</v>
      </c>
      <c r="C19" s="393" t="s">
        <v>711</v>
      </c>
      <c r="D19" s="395">
        <v>12</v>
      </c>
      <c r="E19" s="396"/>
      <c r="F19" s="396"/>
    </row>
    <row r="20" spans="1:6" ht="21.75" customHeight="1">
      <c r="A20" s="422">
        <f t="shared" si="0"/>
        <v>13</v>
      </c>
      <c r="B20" s="394" t="s">
        <v>720</v>
      </c>
      <c r="C20" s="393" t="s">
        <v>711</v>
      </c>
      <c r="D20" s="395">
        <v>20</v>
      </c>
      <c r="E20" s="396"/>
      <c r="F20" s="396"/>
    </row>
    <row r="21" spans="1:6" ht="21.75" customHeight="1">
      <c r="A21" s="422">
        <f t="shared" si="0"/>
        <v>14</v>
      </c>
      <c r="B21" s="394" t="s">
        <v>721</v>
      </c>
      <c r="C21" s="393" t="s">
        <v>711</v>
      </c>
      <c r="D21" s="395">
        <v>12</v>
      </c>
      <c r="E21" s="396"/>
      <c r="F21" s="396"/>
    </row>
    <row r="22" spans="1:6" ht="21.75" customHeight="1">
      <c r="A22" s="422">
        <f t="shared" si="0"/>
        <v>15</v>
      </c>
      <c r="B22" s="394" t="s">
        <v>722</v>
      </c>
      <c r="C22" s="393" t="s">
        <v>711</v>
      </c>
      <c r="D22" s="395">
        <v>18</v>
      </c>
      <c r="E22" s="396"/>
      <c r="F22" s="396"/>
    </row>
    <row r="23" spans="1:6" ht="21.75" customHeight="1">
      <c r="A23" s="422">
        <f t="shared" si="0"/>
        <v>16</v>
      </c>
      <c r="B23" s="394" t="s">
        <v>723</v>
      </c>
      <c r="C23" s="393" t="s">
        <v>51</v>
      </c>
      <c r="D23" s="395">
        <v>1</v>
      </c>
      <c r="E23" s="396"/>
      <c r="F23" s="396"/>
    </row>
    <row r="24" spans="1:6" ht="21.75" customHeight="1">
      <c r="A24" s="422">
        <f t="shared" si="0"/>
        <v>17</v>
      </c>
      <c r="B24" s="394" t="s">
        <v>724</v>
      </c>
      <c r="C24" s="393" t="s">
        <v>51</v>
      </c>
      <c r="D24" s="395">
        <v>20</v>
      </c>
      <c r="E24" s="396"/>
      <c r="F24" s="396"/>
    </row>
    <row r="25" spans="1:6" ht="21.75" customHeight="1">
      <c r="A25" s="422">
        <f t="shared" si="0"/>
        <v>18</v>
      </c>
      <c r="B25" s="394" t="s">
        <v>725</v>
      </c>
      <c r="C25" s="393" t="s">
        <v>51</v>
      </c>
      <c r="D25" s="395">
        <v>30</v>
      </c>
      <c r="E25" s="396"/>
      <c r="F25" s="396"/>
    </row>
    <row r="26" spans="1:6" ht="21.75" customHeight="1">
      <c r="A26" s="422">
        <f t="shared" si="0"/>
        <v>19</v>
      </c>
      <c r="B26" s="394" t="s">
        <v>1030</v>
      </c>
      <c r="C26" s="393" t="s">
        <v>711</v>
      </c>
      <c r="D26" s="395">
        <v>12</v>
      </c>
      <c r="E26" s="396"/>
      <c r="F26" s="396"/>
    </row>
    <row r="27" spans="1:6" ht="21.75" customHeight="1">
      <c r="A27" s="422">
        <f t="shared" si="0"/>
        <v>20</v>
      </c>
      <c r="B27" s="394" t="s">
        <v>727</v>
      </c>
      <c r="C27" s="393" t="s">
        <v>711</v>
      </c>
      <c r="D27" s="395">
        <v>18</v>
      </c>
      <c r="E27" s="396"/>
      <c r="F27" s="396"/>
    </row>
    <row r="28" spans="1:6" ht="21.75" customHeight="1">
      <c r="A28" s="422">
        <f t="shared" si="0"/>
        <v>21</v>
      </c>
      <c r="B28" s="394" t="s">
        <v>728</v>
      </c>
      <c r="C28" s="393" t="s">
        <v>51</v>
      </c>
      <c r="D28" s="395">
        <v>3</v>
      </c>
      <c r="E28" s="396"/>
      <c r="F28" s="396"/>
    </row>
    <row r="29" spans="1:6" ht="21.75" customHeight="1">
      <c r="A29" s="422">
        <f t="shared" si="0"/>
        <v>22</v>
      </c>
      <c r="B29" s="394" t="s">
        <v>729</v>
      </c>
      <c r="C29" s="393" t="s">
        <v>51</v>
      </c>
      <c r="D29" s="395">
        <v>4</v>
      </c>
      <c r="E29" s="396"/>
      <c r="F29" s="396"/>
    </row>
    <row r="30" spans="1:6" ht="21.75" customHeight="1">
      <c r="A30" s="422">
        <f t="shared" si="0"/>
        <v>23</v>
      </c>
      <c r="B30" s="394" t="s">
        <v>730</v>
      </c>
      <c r="C30" s="393" t="s">
        <v>51</v>
      </c>
      <c r="D30" s="395">
        <v>20</v>
      </c>
      <c r="E30" s="396"/>
      <c r="F30" s="396"/>
    </row>
    <row r="31" spans="1:6" ht="21.75" customHeight="1">
      <c r="A31" s="422">
        <f t="shared" si="0"/>
        <v>24</v>
      </c>
      <c r="B31" s="394" t="s">
        <v>731</v>
      </c>
      <c r="C31" s="393" t="s">
        <v>51</v>
      </c>
      <c r="D31" s="395">
        <v>30</v>
      </c>
      <c r="E31" s="396"/>
      <c r="F31" s="396"/>
    </row>
    <row r="32" spans="1:6" ht="21.75" customHeight="1">
      <c r="A32" s="422">
        <f t="shared" si="0"/>
        <v>25</v>
      </c>
      <c r="B32" s="394" t="s">
        <v>732</v>
      </c>
      <c r="C32" s="393" t="s">
        <v>51</v>
      </c>
      <c r="D32" s="395">
        <v>30</v>
      </c>
      <c r="E32" s="396"/>
      <c r="F32" s="396"/>
    </row>
    <row r="33" spans="1:6" ht="21.75" customHeight="1">
      <c r="A33" s="422">
        <f t="shared" si="0"/>
        <v>26</v>
      </c>
      <c r="B33" s="394" t="s">
        <v>733</v>
      </c>
      <c r="C33" s="393" t="s">
        <v>51</v>
      </c>
      <c r="D33" s="395">
        <v>4</v>
      </c>
      <c r="E33" s="396"/>
      <c r="F33" s="396"/>
    </row>
    <row r="34" spans="1:6" ht="21.75" customHeight="1">
      <c r="A34" s="422">
        <f t="shared" si="0"/>
        <v>27</v>
      </c>
      <c r="B34" s="394" t="s">
        <v>734</v>
      </c>
      <c r="C34" s="393" t="s">
        <v>51</v>
      </c>
      <c r="D34" s="395">
        <v>5</v>
      </c>
      <c r="E34" s="396"/>
      <c r="F34" s="396"/>
    </row>
    <row r="35" spans="1:6" ht="21.75" customHeight="1">
      <c r="A35" s="422">
        <f t="shared" si="0"/>
        <v>28</v>
      </c>
      <c r="B35" s="394" t="s">
        <v>735</v>
      </c>
      <c r="C35" s="393" t="s">
        <v>51</v>
      </c>
      <c r="D35" s="395">
        <v>10</v>
      </c>
      <c r="E35" s="396"/>
      <c r="F35" s="396"/>
    </row>
    <row r="36" spans="1:6" ht="21.75" customHeight="1">
      <c r="A36" s="422">
        <f t="shared" si="0"/>
        <v>29</v>
      </c>
      <c r="B36" s="394" t="s">
        <v>736</v>
      </c>
      <c r="C36" s="393" t="s">
        <v>51</v>
      </c>
      <c r="D36" s="395">
        <v>10</v>
      </c>
      <c r="E36" s="396"/>
      <c r="F36" s="396"/>
    </row>
    <row r="37" spans="1:6" ht="21.75" customHeight="1">
      <c r="A37" s="422">
        <f t="shared" si="0"/>
        <v>30</v>
      </c>
      <c r="B37" s="394" t="s">
        <v>737</v>
      </c>
      <c r="C37" s="393" t="s">
        <v>51</v>
      </c>
      <c r="D37" s="395">
        <v>2</v>
      </c>
      <c r="E37" s="396"/>
      <c r="F37" s="396"/>
    </row>
    <row r="38" spans="1:6" ht="21.75" customHeight="1">
      <c r="A38" s="422">
        <f t="shared" si="0"/>
        <v>31</v>
      </c>
      <c r="B38" s="394" t="s">
        <v>738</v>
      </c>
      <c r="C38" s="393" t="s">
        <v>51</v>
      </c>
      <c r="D38" s="395">
        <v>4</v>
      </c>
      <c r="E38" s="396"/>
      <c r="F38" s="396"/>
    </row>
    <row r="39" spans="1:6" ht="21.75" customHeight="1">
      <c r="A39" s="422">
        <f t="shared" si="0"/>
        <v>32</v>
      </c>
      <c r="B39" s="394" t="s">
        <v>739</v>
      </c>
      <c r="C39" s="393" t="s">
        <v>51</v>
      </c>
      <c r="D39" s="395">
        <v>15</v>
      </c>
      <c r="E39" s="396"/>
      <c r="F39" s="396"/>
    </row>
    <row r="40" spans="1:6" ht="21.75" customHeight="1">
      <c r="A40" s="422">
        <f t="shared" si="0"/>
        <v>33</v>
      </c>
      <c r="B40" s="394" t="s">
        <v>740</v>
      </c>
      <c r="C40" s="393" t="s">
        <v>51</v>
      </c>
      <c r="D40" s="395">
        <v>10</v>
      </c>
      <c r="E40" s="396"/>
      <c r="F40" s="396"/>
    </row>
    <row r="41" spans="1:6" ht="21.75" customHeight="1">
      <c r="A41" s="422">
        <f t="shared" si="0"/>
        <v>34</v>
      </c>
      <c r="B41" s="394" t="s">
        <v>741</v>
      </c>
      <c r="C41" s="393" t="s">
        <v>51</v>
      </c>
      <c r="D41" s="395">
        <v>15</v>
      </c>
      <c r="E41" s="396"/>
      <c r="F41" s="396"/>
    </row>
    <row r="42" spans="1:6" ht="21.75" customHeight="1">
      <c r="A42" s="422">
        <f t="shared" si="0"/>
        <v>35</v>
      </c>
      <c r="B42" s="394" t="s">
        <v>742</v>
      </c>
      <c r="C42" s="393" t="s">
        <v>51</v>
      </c>
      <c r="D42" s="395">
        <v>4</v>
      </c>
      <c r="E42" s="396"/>
      <c r="F42" s="396"/>
    </row>
    <row r="43" spans="1:6" ht="21.75" customHeight="1">
      <c r="A43" s="422">
        <f t="shared" si="0"/>
        <v>36</v>
      </c>
      <c r="B43" s="394" t="s">
        <v>743</v>
      </c>
      <c r="C43" s="393" t="s">
        <v>51</v>
      </c>
      <c r="D43" s="395">
        <v>10</v>
      </c>
      <c r="E43" s="396"/>
      <c r="F43" s="396"/>
    </row>
    <row r="44" spans="1:6" ht="21.75" customHeight="1">
      <c r="A44" s="422">
        <f t="shared" si="0"/>
        <v>37</v>
      </c>
      <c r="B44" s="394" t="s">
        <v>1031</v>
      </c>
      <c r="C44" s="393" t="s">
        <v>51</v>
      </c>
      <c r="D44" s="395">
        <v>10</v>
      </c>
      <c r="E44" s="396"/>
      <c r="F44" s="396"/>
    </row>
    <row r="45" spans="1:6" ht="21.75" customHeight="1">
      <c r="A45" s="422">
        <f t="shared" si="0"/>
        <v>38</v>
      </c>
      <c r="B45" s="394" t="s">
        <v>745</v>
      </c>
      <c r="C45" s="393" t="s">
        <v>51</v>
      </c>
      <c r="D45" s="395">
        <v>20</v>
      </c>
      <c r="E45" s="396"/>
      <c r="F45" s="396"/>
    </row>
    <row r="46" spans="1:6" ht="21.75" customHeight="1">
      <c r="A46" s="422">
        <f t="shared" si="0"/>
        <v>39</v>
      </c>
      <c r="B46" s="394" t="s">
        <v>746</v>
      </c>
      <c r="C46" s="393" t="s">
        <v>51</v>
      </c>
      <c r="D46" s="395">
        <v>20</v>
      </c>
      <c r="E46" s="396"/>
      <c r="F46" s="396"/>
    </row>
    <row r="47" spans="1:6" ht="21.75" customHeight="1">
      <c r="A47" s="422">
        <f t="shared" si="0"/>
        <v>40</v>
      </c>
      <c r="B47" s="394" t="s">
        <v>747</v>
      </c>
      <c r="C47" s="393" t="s">
        <v>51</v>
      </c>
      <c r="D47" s="395">
        <v>15</v>
      </c>
      <c r="E47" s="396"/>
      <c r="F47" s="396"/>
    </row>
    <row r="48" spans="1:6" ht="21.75" customHeight="1">
      <c r="A48" s="422">
        <f t="shared" si="0"/>
        <v>41</v>
      </c>
      <c r="B48" s="394" t="s">
        <v>748</v>
      </c>
      <c r="C48" s="393" t="s">
        <v>51</v>
      </c>
      <c r="D48" s="395">
        <v>40</v>
      </c>
      <c r="E48" s="396"/>
      <c r="F48" s="396"/>
    </row>
    <row r="49" spans="1:6" ht="21.75" customHeight="1">
      <c r="A49" s="422">
        <f t="shared" si="0"/>
        <v>42</v>
      </c>
      <c r="B49" s="394" t="s">
        <v>749</v>
      </c>
      <c r="C49" s="393" t="s">
        <v>51</v>
      </c>
      <c r="D49" s="395">
        <v>30</v>
      </c>
      <c r="E49" s="396"/>
      <c r="F49" s="396"/>
    </row>
    <row r="50" spans="1:6" ht="21.75" customHeight="1">
      <c r="A50" s="422">
        <f t="shared" si="0"/>
        <v>43</v>
      </c>
      <c r="B50" s="394" t="s">
        <v>750</v>
      </c>
      <c r="C50" s="393" t="s">
        <v>51</v>
      </c>
      <c r="D50" s="395">
        <v>5</v>
      </c>
      <c r="E50" s="396"/>
      <c r="F50" s="396"/>
    </row>
    <row r="51" spans="1:6" ht="21.75" customHeight="1">
      <c r="A51" s="422">
        <f t="shared" si="0"/>
        <v>44</v>
      </c>
      <c r="B51" s="394" t="s">
        <v>751</v>
      </c>
      <c r="C51" s="393" t="s">
        <v>51</v>
      </c>
      <c r="D51" s="395">
        <v>20</v>
      </c>
      <c r="E51" s="396"/>
      <c r="F51" s="396"/>
    </row>
    <row r="52" spans="1:6" ht="21.75" customHeight="1">
      <c r="A52" s="422">
        <f t="shared" si="0"/>
        <v>45</v>
      </c>
      <c r="B52" s="394" t="s">
        <v>752</v>
      </c>
      <c r="C52" s="393" t="s">
        <v>51</v>
      </c>
      <c r="D52" s="395">
        <v>15</v>
      </c>
      <c r="E52" s="396"/>
      <c r="F52" s="396"/>
    </row>
    <row r="53" spans="1:6" ht="21.75" customHeight="1">
      <c r="A53" s="422">
        <f t="shared" si="0"/>
        <v>46</v>
      </c>
      <c r="B53" s="394" t="s">
        <v>753</v>
      </c>
      <c r="C53" s="393" t="s">
        <v>51</v>
      </c>
      <c r="D53" s="395">
        <v>15</v>
      </c>
      <c r="E53" s="396"/>
      <c r="F53" s="396"/>
    </row>
    <row r="54" spans="1:6" ht="21.75" customHeight="1">
      <c r="A54" s="422">
        <f t="shared" si="0"/>
        <v>47</v>
      </c>
      <c r="B54" s="394" t="s">
        <v>754</v>
      </c>
      <c r="C54" s="393" t="s">
        <v>51</v>
      </c>
      <c r="D54" s="395">
        <v>15</v>
      </c>
      <c r="E54" s="396"/>
      <c r="F54" s="396"/>
    </row>
    <row r="55" spans="1:6" ht="21.75" customHeight="1">
      <c r="A55" s="422">
        <f t="shared" si="0"/>
        <v>48</v>
      </c>
      <c r="B55" s="394" t="s">
        <v>978</v>
      </c>
      <c r="C55" s="393" t="s">
        <v>51</v>
      </c>
      <c r="D55" s="395">
        <v>10</v>
      </c>
      <c r="E55" s="396"/>
      <c r="F55" s="396"/>
    </row>
    <row r="56" spans="1:6" ht="21.75" customHeight="1">
      <c r="A56" s="422">
        <f t="shared" si="0"/>
        <v>49</v>
      </c>
      <c r="B56" s="394" t="s">
        <v>756</v>
      </c>
      <c r="C56" s="393" t="s">
        <v>51</v>
      </c>
      <c r="D56" s="395">
        <v>2</v>
      </c>
      <c r="E56" s="396"/>
      <c r="F56" s="396"/>
    </row>
    <row r="57" spans="1:6" ht="21.75" customHeight="1">
      <c r="A57" s="422">
        <f t="shared" si="0"/>
        <v>50</v>
      </c>
      <c r="B57" s="394" t="s">
        <v>757</v>
      </c>
      <c r="C57" s="393" t="s">
        <v>51</v>
      </c>
      <c r="D57" s="395">
        <v>4</v>
      </c>
      <c r="E57" s="396"/>
      <c r="F57" s="396"/>
    </row>
    <row r="58" spans="1:6" ht="21.75" customHeight="1">
      <c r="A58" s="422">
        <f t="shared" si="0"/>
        <v>51</v>
      </c>
      <c r="B58" s="394" t="s">
        <v>758</v>
      </c>
      <c r="C58" s="393" t="s">
        <v>51</v>
      </c>
      <c r="D58" s="395">
        <v>5</v>
      </c>
      <c r="E58" s="396"/>
      <c r="F58" s="396"/>
    </row>
    <row r="59" spans="1:6" ht="21.75" customHeight="1">
      <c r="A59" s="422">
        <f t="shared" si="0"/>
        <v>52</v>
      </c>
      <c r="B59" s="394" t="s">
        <v>759</v>
      </c>
      <c r="C59" s="393" t="s">
        <v>51</v>
      </c>
      <c r="D59" s="395">
        <v>8</v>
      </c>
      <c r="E59" s="396"/>
      <c r="F59" s="396"/>
    </row>
    <row r="60" spans="1:6" ht="21.75" customHeight="1">
      <c r="A60" s="422">
        <f t="shared" si="0"/>
        <v>53</v>
      </c>
      <c r="B60" s="394" t="s">
        <v>760</v>
      </c>
      <c r="C60" s="393" t="s">
        <v>51</v>
      </c>
      <c r="D60" s="395">
        <v>5</v>
      </c>
      <c r="E60" s="396"/>
      <c r="F60" s="396"/>
    </row>
    <row r="61" spans="1:6" ht="21.75" customHeight="1">
      <c r="A61" s="422">
        <f t="shared" si="0"/>
        <v>54</v>
      </c>
      <c r="B61" s="394" t="s">
        <v>761</v>
      </c>
      <c r="C61" s="393" t="s">
        <v>51</v>
      </c>
      <c r="D61" s="395">
        <v>2</v>
      </c>
      <c r="E61" s="396"/>
      <c r="F61" s="396"/>
    </row>
    <row r="62" spans="1:6" ht="21.75" customHeight="1">
      <c r="A62" s="422">
        <f t="shared" si="0"/>
        <v>55</v>
      </c>
      <c r="B62" s="394" t="s">
        <v>926</v>
      </c>
      <c r="C62" s="393" t="s">
        <v>711</v>
      </c>
      <c r="D62" s="395">
        <v>8</v>
      </c>
      <c r="E62" s="396"/>
      <c r="F62" s="396"/>
    </row>
    <row r="63" spans="1:6" ht="21.75" customHeight="1">
      <c r="A63" s="422">
        <f t="shared" si="0"/>
        <v>56</v>
      </c>
      <c r="B63" s="394" t="s">
        <v>979</v>
      </c>
      <c r="C63" s="393" t="s">
        <v>711</v>
      </c>
      <c r="D63" s="395">
        <v>16</v>
      </c>
      <c r="E63" s="396"/>
      <c r="F63" s="396"/>
    </row>
    <row r="64" spans="1:6" ht="21.75" customHeight="1">
      <c r="A64" s="422">
        <f t="shared" si="0"/>
        <v>57</v>
      </c>
      <c r="B64" s="394" t="s">
        <v>980</v>
      </c>
      <c r="C64" s="393" t="s">
        <v>51</v>
      </c>
      <c r="D64" s="395">
        <v>4</v>
      </c>
      <c r="E64" s="396"/>
      <c r="F64" s="396"/>
    </row>
    <row r="65" spans="1:6" ht="21.75" customHeight="1">
      <c r="A65" s="422">
        <f t="shared" si="0"/>
        <v>58</v>
      </c>
      <c r="B65" s="394" t="s">
        <v>1032</v>
      </c>
      <c r="C65" s="393" t="s">
        <v>51</v>
      </c>
      <c r="D65" s="395">
        <v>2</v>
      </c>
      <c r="E65" s="396"/>
      <c r="F65" s="396"/>
    </row>
    <row r="66" spans="1:6" ht="21.75" customHeight="1">
      <c r="A66" s="422">
        <f t="shared" si="0"/>
        <v>59</v>
      </c>
      <c r="B66" s="394" t="s">
        <v>981</v>
      </c>
      <c r="C66" s="393" t="s">
        <v>51</v>
      </c>
      <c r="D66" s="395">
        <v>1</v>
      </c>
      <c r="E66" s="396"/>
      <c r="F66" s="396"/>
    </row>
    <row r="67" spans="1:6" ht="21.75" customHeight="1">
      <c r="A67" s="422">
        <f t="shared" si="0"/>
        <v>60</v>
      </c>
      <c r="B67" s="394" t="s">
        <v>767</v>
      </c>
      <c r="C67" s="393" t="s">
        <v>51</v>
      </c>
      <c r="D67" s="395">
        <v>2</v>
      </c>
      <c r="E67" s="396"/>
      <c r="F67" s="396"/>
    </row>
    <row r="68" spans="1:6" ht="21.75" customHeight="1">
      <c r="A68" s="422">
        <f t="shared" si="0"/>
        <v>61</v>
      </c>
      <c r="B68" s="394" t="s">
        <v>1033</v>
      </c>
      <c r="C68" s="393" t="s">
        <v>711</v>
      </c>
      <c r="D68" s="395">
        <v>2.5</v>
      </c>
      <c r="E68" s="396"/>
      <c r="F68" s="396"/>
    </row>
    <row r="69" spans="1:6" ht="21.75" customHeight="1">
      <c r="A69" s="422">
        <f t="shared" si="0"/>
        <v>62</v>
      </c>
      <c r="B69" s="394" t="s">
        <v>769</v>
      </c>
      <c r="C69" s="393" t="s">
        <v>51</v>
      </c>
      <c r="D69" s="395">
        <v>3</v>
      </c>
      <c r="E69" s="396"/>
      <c r="F69" s="396"/>
    </row>
    <row r="70" spans="1:6" ht="21.75" customHeight="1">
      <c r="A70" s="422">
        <f t="shared" si="0"/>
        <v>63</v>
      </c>
      <c r="B70" s="394" t="s">
        <v>770</v>
      </c>
      <c r="C70" s="393" t="s">
        <v>771</v>
      </c>
      <c r="D70" s="395">
        <v>3</v>
      </c>
      <c r="E70" s="396"/>
      <c r="F70" s="396"/>
    </row>
    <row r="71" spans="1:6" ht="21.75" customHeight="1">
      <c r="A71" s="422">
        <f t="shared" si="0"/>
        <v>64</v>
      </c>
      <c r="B71" s="394" t="s">
        <v>772</v>
      </c>
      <c r="C71" s="393" t="s">
        <v>771</v>
      </c>
      <c r="D71" s="395">
        <v>3</v>
      </c>
      <c r="E71" s="396"/>
      <c r="F71" s="396"/>
    </row>
    <row r="72" spans="1:6" ht="21.75" customHeight="1">
      <c r="A72" s="422">
        <f t="shared" si="0"/>
        <v>65</v>
      </c>
      <c r="B72" s="394" t="s">
        <v>773</v>
      </c>
      <c r="C72" s="393" t="s">
        <v>51</v>
      </c>
      <c r="D72" s="395">
        <v>3</v>
      </c>
      <c r="E72" s="396"/>
      <c r="F72" s="396"/>
    </row>
    <row r="73" spans="1:6" ht="21.75" customHeight="1">
      <c r="A73" s="422">
        <f t="shared" si="0"/>
        <v>66</v>
      </c>
      <c r="B73" s="394" t="s">
        <v>774</v>
      </c>
      <c r="C73" s="393" t="s">
        <v>771</v>
      </c>
      <c r="D73" s="395">
        <v>3</v>
      </c>
      <c r="E73" s="396"/>
      <c r="F73" s="396"/>
    </row>
    <row r="74" spans="1:6" ht="21.75" customHeight="1">
      <c r="A74" s="422">
        <f t="shared" si="0"/>
        <v>67</v>
      </c>
      <c r="B74" s="394" t="s">
        <v>775</v>
      </c>
      <c r="C74" s="393" t="s">
        <v>771</v>
      </c>
      <c r="D74" s="395">
        <v>3</v>
      </c>
      <c r="E74" s="396"/>
      <c r="F74" s="396"/>
    </row>
    <row r="75" spans="1:6" ht="21.75" customHeight="1">
      <c r="A75" s="422">
        <f t="shared" ref="A75:A111" si="1">A74+1</f>
        <v>68</v>
      </c>
      <c r="B75" s="394" t="s">
        <v>776</v>
      </c>
      <c r="C75" s="393" t="s">
        <v>51</v>
      </c>
      <c r="D75" s="395">
        <v>3</v>
      </c>
      <c r="E75" s="396"/>
      <c r="F75" s="396"/>
    </row>
    <row r="76" spans="1:6" ht="21.75" customHeight="1">
      <c r="A76" s="422">
        <f t="shared" si="1"/>
        <v>69</v>
      </c>
      <c r="B76" s="394" t="s">
        <v>777</v>
      </c>
      <c r="C76" s="393" t="s">
        <v>771</v>
      </c>
      <c r="D76" s="395">
        <v>3</v>
      </c>
      <c r="E76" s="396"/>
      <c r="F76" s="396"/>
    </row>
    <row r="77" spans="1:6" ht="21.75" customHeight="1">
      <c r="A77" s="422">
        <f t="shared" si="1"/>
        <v>70</v>
      </c>
      <c r="B77" s="394" t="s">
        <v>778</v>
      </c>
      <c r="C77" s="393" t="s">
        <v>771</v>
      </c>
      <c r="D77" s="395">
        <v>3</v>
      </c>
      <c r="E77" s="396"/>
      <c r="F77" s="396"/>
    </row>
    <row r="78" spans="1:6" ht="21.75" customHeight="1">
      <c r="A78" s="422">
        <f t="shared" si="1"/>
        <v>71</v>
      </c>
      <c r="B78" s="394" t="s">
        <v>779</v>
      </c>
      <c r="C78" s="393" t="s">
        <v>51</v>
      </c>
      <c r="D78" s="395">
        <v>3</v>
      </c>
      <c r="E78" s="396"/>
      <c r="F78" s="396"/>
    </row>
    <row r="79" spans="1:6" ht="21.75" customHeight="1">
      <c r="A79" s="422">
        <f t="shared" si="1"/>
        <v>72</v>
      </c>
      <c r="B79" s="394" t="s">
        <v>780</v>
      </c>
      <c r="C79" s="393" t="s">
        <v>771</v>
      </c>
      <c r="D79" s="395">
        <v>3</v>
      </c>
      <c r="E79" s="396"/>
      <c r="F79" s="396"/>
    </row>
    <row r="80" spans="1:6" ht="21.75" customHeight="1">
      <c r="A80" s="422">
        <f t="shared" si="1"/>
        <v>73</v>
      </c>
      <c r="B80" s="394" t="s">
        <v>781</v>
      </c>
      <c r="C80" s="393" t="s">
        <v>51</v>
      </c>
      <c r="D80" s="395">
        <v>3</v>
      </c>
      <c r="E80" s="396"/>
      <c r="F80" s="396"/>
    </row>
    <row r="81" spans="1:6" ht="21.75" customHeight="1">
      <c r="A81" s="422">
        <f t="shared" si="1"/>
        <v>74</v>
      </c>
      <c r="B81" s="394" t="s">
        <v>782</v>
      </c>
      <c r="C81" s="393" t="s">
        <v>771</v>
      </c>
      <c r="D81" s="395">
        <v>3</v>
      </c>
      <c r="E81" s="396"/>
      <c r="F81" s="396"/>
    </row>
    <row r="82" spans="1:6" ht="21.75" customHeight="1">
      <c r="A82" s="422">
        <f t="shared" si="1"/>
        <v>75</v>
      </c>
      <c r="B82" s="394" t="s">
        <v>783</v>
      </c>
      <c r="C82" s="393" t="s">
        <v>51</v>
      </c>
      <c r="D82" s="395">
        <v>7</v>
      </c>
      <c r="E82" s="396"/>
      <c r="F82" s="396"/>
    </row>
    <row r="83" spans="1:6" ht="21.75" customHeight="1">
      <c r="A83" s="422">
        <f t="shared" si="1"/>
        <v>76</v>
      </c>
      <c r="B83" s="394" t="s">
        <v>784</v>
      </c>
      <c r="C83" s="393" t="s">
        <v>51</v>
      </c>
      <c r="D83" s="395">
        <v>1</v>
      </c>
      <c r="E83" s="396"/>
      <c r="F83" s="396"/>
    </row>
    <row r="84" spans="1:6" ht="21.75" customHeight="1">
      <c r="A84" s="422">
        <f t="shared" si="1"/>
        <v>77</v>
      </c>
      <c r="B84" s="394" t="s">
        <v>785</v>
      </c>
      <c r="C84" s="393" t="s">
        <v>51</v>
      </c>
      <c r="D84" s="395">
        <v>1</v>
      </c>
      <c r="E84" s="396"/>
      <c r="F84" s="396"/>
    </row>
    <row r="85" spans="1:6" ht="21.75" customHeight="1">
      <c r="A85" s="422">
        <f t="shared" si="1"/>
        <v>78</v>
      </c>
      <c r="B85" s="394" t="s">
        <v>786</v>
      </c>
      <c r="C85" s="393" t="s">
        <v>51</v>
      </c>
      <c r="D85" s="395">
        <v>1</v>
      </c>
      <c r="E85" s="396"/>
      <c r="F85" s="396"/>
    </row>
    <row r="86" spans="1:6" ht="21.75" customHeight="1">
      <c r="A86" s="422">
        <f t="shared" si="1"/>
        <v>79</v>
      </c>
      <c r="B86" s="394" t="s">
        <v>787</v>
      </c>
      <c r="C86" s="393" t="s">
        <v>771</v>
      </c>
      <c r="D86" s="395">
        <v>1</v>
      </c>
      <c r="E86" s="396"/>
      <c r="F86" s="396"/>
    </row>
    <row r="87" spans="1:6" ht="21.75" customHeight="1">
      <c r="A87" s="422">
        <f t="shared" si="1"/>
        <v>80</v>
      </c>
      <c r="B87" s="394" t="s">
        <v>788</v>
      </c>
      <c r="C87" s="393" t="s">
        <v>51</v>
      </c>
      <c r="D87" s="395">
        <v>1</v>
      </c>
      <c r="E87" s="396"/>
      <c r="F87" s="396"/>
    </row>
    <row r="88" spans="1:6" ht="21.75" customHeight="1">
      <c r="A88" s="422">
        <f t="shared" si="1"/>
        <v>81</v>
      </c>
      <c r="B88" s="394" t="s">
        <v>789</v>
      </c>
      <c r="C88" s="393" t="s">
        <v>51</v>
      </c>
      <c r="D88" s="395">
        <v>7</v>
      </c>
      <c r="E88" s="396"/>
      <c r="F88" s="396"/>
    </row>
    <row r="89" spans="1:6" ht="21.75" customHeight="1">
      <c r="A89" s="422">
        <f t="shared" si="1"/>
        <v>82</v>
      </c>
      <c r="B89" s="394" t="s">
        <v>790</v>
      </c>
      <c r="C89" s="393" t="s">
        <v>711</v>
      </c>
      <c r="D89" s="395">
        <v>20</v>
      </c>
      <c r="E89" s="396"/>
      <c r="F89" s="396"/>
    </row>
    <row r="90" spans="1:6" ht="21.75" customHeight="1">
      <c r="A90" s="422">
        <f t="shared" si="1"/>
        <v>83</v>
      </c>
      <c r="B90" s="394" t="s">
        <v>791</v>
      </c>
      <c r="C90" s="393" t="s">
        <v>771</v>
      </c>
      <c r="D90" s="395">
        <v>1</v>
      </c>
      <c r="E90" s="396"/>
      <c r="F90" s="396"/>
    </row>
    <row r="91" spans="1:6" ht="21.75" customHeight="1">
      <c r="A91" s="422">
        <f t="shared" si="1"/>
        <v>84</v>
      </c>
      <c r="B91" s="394" t="s">
        <v>792</v>
      </c>
      <c r="C91" s="393" t="s">
        <v>771</v>
      </c>
      <c r="D91" s="395">
        <v>1</v>
      </c>
      <c r="E91" s="396"/>
      <c r="F91" s="396"/>
    </row>
    <row r="92" spans="1:6" ht="21.75" customHeight="1">
      <c r="A92" s="422">
        <f t="shared" si="1"/>
        <v>85</v>
      </c>
      <c r="B92" s="394" t="s">
        <v>793</v>
      </c>
      <c r="C92" s="393" t="s">
        <v>794</v>
      </c>
      <c r="D92" s="395">
        <v>1</v>
      </c>
      <c r="E92" s="396"/>
      <c r="F92" s="396"/>
    </row>
    <row r="93" spans="1:6" ht="21.75" customHeight="1">
      <c r="A93" s="422">
        <f t="shared" si="1"/>
        <v>86</v>
      </c>
      <c r="B93" s="394" t="s">
        <v>795</v>
      </c>
      <c r="C93" s="393" t="s">
        <v>51</v>
      </c>
      <c r="D93" s="395">
        <v>2</v>
      </c>
      <c r="E93" s="396"/>
      <c r="F93" s="396"/>
    </row>
    <row r="94" spans="1:6" ht="21.75" customHeight="1">
      <c r="A94" s="422">
        <f t="shared" si="1"/>
        <v>87</v>
      </c>
      <c r="B94" s="394" t="s">
        <v>796</v>
      </c>
      <c r="C94" s="393" t="s">
        <v>771</v>
      </c>
      <c r="D94" s="395">
        <v>2</v>
      </c>
      <c r="E94" s="396"/>
      <c r="F94" s="396"/>
    </row>
    <row r="95" spans="1:6" ht="21.75" customHeight="1">
      <c r="A95" s="422">
        <f t="shared" si="1"/>
        <v>88</v>
      </c>
      <c r="B95" s="394" t="s">
        <v>797</v>
      </c>
      <c r="C95" s="393" t="s">
        <v>771</v>
      </c>
      <c r="D95" s="395">
        <v>1</v>
      </c>
      <c r="E95" s="396"/>
      <c r="F95" s="396"/>
    </row>
    <row r="96" spans="1:6" ht="21.75" customHeight="1">
      <c r="A96" s="422">
        <f t="shared" si="1"/>
        <v>89</v>
      </c>
      <c r="B96" s="394" t="s">
        <v>798</v>
      </c>
      <c r="C96" s="393" t="s">
        <v>51</v>
      </c>
      <c r="D96" s="395">
        <v>2</v>
      </c>
      <c r="E96" s="396"/>
      <c r="F96" s="396"/>
    </row>
    <row r="97" spans="1:6" ht="21.75" customHeight="1">
      <c r="A97" s="422">
        <f t="shared" si="1"/>
        <v>90</v>
      </c>
      <c r="B97" s="394" t="s">
        <v>983</v>
      </c>
      <c r="C97" s="393" t="s">
        <v>51</v>
      </c>
      <c r="D97" s="395">
        <v>1</v>
      </c>
      <c r="E97" s="396"/>
      <c r="F97" s="396"/>
    </row>
    <row r="98" spans="1:6" ht="21.75" customHeight="1">
      <c r="A98" s="422">
        <f t="shared" si="1"/>
        <v>91</v>
      </c>
      <c r="B98" s="394" t="s">
        <v>984</v>
      </c>
      <c r="C98" s="393" t="s">
        <v>51</v>
      </c>
      <c r="D98" s="395">
        <v>1</v>
      </c>
      <c r="E98" s="396"/>
      <c r="F98" s="396"/>
    </row>
    <row r="99" spans="1:6" ht="21.75" customHeight="1">
      <c r="A99" s="422">
        <f t="shared" si="1"/>
        <v>92</v>
      </c>
      <c r="B99" s="394" t="s">
        <v>801</v>
      </c>
      <c r="C99" s="393" t="s">
        <v>771</v>
      </c>
      <c r="D99" s="395">
        <v>2</v>
      </c>
      <c r="E99" s="396"/>
      <c r="F99" s="396"/>
    </row>
    <row r="100" spans="1:6" ht="21.75" customHeight="1">
      <c r="A100" s="422">
        <f t="shared" si="1"/>
        <v>93</v>
      </c>
      <c r="B100" s="394" t="s">
        <v>1034</v>
      </c>
      <c r="C100" s="393" t="s">
        <v>51</v>
      </c>
      <c r="D100" s="395">
        <v>3</v>
      </c>
      <c r="E100" s="396"/>
      <c r="F100" s="396"/>
    </row>
    <row r="101" spans="1:6" ht="21.75" customHeight="1">
      <c r="A101" s="422">
        <f t="shared" si="1"/>
        <v>94</v>
      </c>
      <c r="B101" s="394" t="s">
        <v>1035</v>
      </c>
      <c r="C101" s="393" t="s">
        <v>51</v>
      </c>
      <c r="D101" s="395">
        <v>1</v>
      </c>
      <c r="E101" s="396"/>
      <c r="F101" s="396"/>
    </row>
    <row r="102" spans="1:6" ht="21.75" customHeight="1">
      <c r="A102" s="422">
        <f t="shared" si="1"/>
        <v>95</v>
      </c>
      <c r="B102" s="394" t="s">
        <v>1036</v>
      </c>
      <c r="C102" s="393" t="s">
        <v>51</v>
      </c>
      <c r="D102" s="395">
        <v>1</v>
      </c>
      <c r="E102" s="396"/>
      <c r="F102" s="396"/>
    </row>
    <row r="103" spans="1:6" ht="21.75" customHeight="1">
      <c r="A103" s="422">
        <f t="shared" si="1"/>
        <v>96</v>
      </c>
      <c r="B103" s="394" t="s">
        <v>805</v>
      </c>
      <c r="C103" s="393" t="s">
        <v>51</v>
      </c>
      <c r="D103" s="395">
        <v>2</v>
      </c>
      <c r="E103" s="396"/>
      <c r="F103" s="396"/>
    </row>
    <row r="104" spans="1:6" ht="21.75" customHeight="1">
      <c r="A104" s="422">
        <f t="shared" si="1"/>
        <v>97</v>
      </c>
      <c r="B104" s="394" t="s">
        <v>806</v>
      </c>
      <c r="C104" s="393" t="s">
        <v>771</v>
      </c>
      <c r="D104" s="395">
        <v>2</v>
      </c>
      <c r="E104" s="396"/>
      <c r="F104" s="396"/>
    </row>
    <row r="105" spans="1:6" ht="21.75" customHeight="1">
      <c r="A105" s="422">
        <f t="shared" si="1"/>
        <v>98</v>
      </c>
      <c r="B105" s="394" t="s">
        <v>807</v>
      </c>
      <c r="C105" s="393" t="s">
        <v>51</v>
      </c>
      <c r="D105" s="395">
        <v>1</v>
      </c>
      <c r="E105" s="396"/>
      <c r="F105" s="396"/>
    </row>
    <row r="106" spans="1:6" ht="21.75" customHeight="1">
      <c r="A106" s="422">
        <f t="shared" si="1"/>
        <v>99</v>
      </c>
      <c r="B106" s="394" t="s">
        <v>808</v>
      </c>
      <c r="C106" s="393" t="s">
        <v>771</v>
      </c>
      <c r="D106" s="395">
        <v>1</v>
      </c>
      <c r="E106" s="396"/>
      <c r="F106" s="396"/>
    </row>
    <row r="107" spans="1:6" ht="21.75" customHeight="1">
      <c r="A107" s="422">
        <f t="shared" si="1"/>
        <v>100</v>
      </c>
      <c r="B107" s="394" t="s">
        <v>809</v>
      </c>
      <c r="C107" s="393" t="s">
        <v>771</v>
      </c>
      <c r="D107" s="395">
        <v>1</v>
      </c>
      <c r="E107" s="396"/>
      <c r="F107" s="396"/>
    </row>
    <row r="108" spans="1:6" ht="21.75" customHeight="1">
      <c r="A108" s="422">
        <f t="shared" si="1"/>
        <v>101</v>
      </c>
      <c r="B108" s="394" t="s">
        <v>1037</v>
      </c>
      <c r="C108" s="393" t="s">
        <v>51</v>
      </c>
      <c r="D108" s="395">
        <v>3</v>
      </c>
      <c r="E108" s="396"/>
      <c r="F108" s="396"/>
    </row>
    <row r="109" spans="1:6" ht="21.75" customHeight="1">
      <c r="A109" s="422">
        <f t="shared" si="1"/>
        <v>102</v>
      </c>
      <c r="B109" s="394" t="s">
        <v>811</v>
      </c>
      <c r="C109" s="393" t="s">
        <v>51</v>
      </c>
      <c r="D109" s="395">
        <v>5</v>
      </c>
      <c r="E109" s="396"/>
      <c r="F109" s="396"/>
    </row>
    <row r="110" spans="1:6" ht="21.75" customHeight="1">
      <c r="A110" s="422">
        <f t="shared" si="1"/>
        <v>103</v>
      </c>
      <c r="B110" s="394" t="s">
        <v>812</v>
      </c>
      <c r="C110" s="393" t="s">
        <v>813</v>
      </c>
      <c r="D110" s="395">
        <v>1</v>
      </c>
      <c r="E110" s="396"/>
      <c r="F110" s="396"/>
    </row>
    <row r="111" spans="1:6" ht="21.75" customHeight="1">
      <c r="A111" s="422">
        <f t="shared" si="1"/>
        <v>104</v>
      </c>
      <c r="B111" s="394" t="s">
        <v>814</v>
      </c>
      <c r="C111" s="393" t="s">
        <v>771</v>
      </c>
      <c r="D111" s="395">
        <v>1</v>
      </c>
      <c r="E111" s="396"/>
      <c r="F111" s="396"/>
    </row>
    <row r="112" spans="1:6" s="398" customFormat="1" ht="22.5" customHeight="1">
      <c r="A112" s="422">
        <f>A111+1</f>
        <v>105</v>
      </c>
      <c r="B112" s="401" t="s">
        <v>677</v>
      </c>
      <c r="C112" s="393" t="s">
        <v>667</v>
      </c>
      <c r="D112" s="402">
        <v>1</v>
      </c>
      <c r="E112" s="403"/>
      <c r="F112" s="396"/>
    </row>
    <row r="113" spans="1:6" s="398" customFormat="1" ht="20.25" customHeight="1">
      <c r="A113" s="404"/>
      <c r="B113" s="404" t="s">
        <v>407</v>
      </c>
      <c r="C113" s="404"/>
      <c r="D113" s="405"/>
      <c r="E113" s="406"/>
      <c r="F113" s="407">
        <f>SUM(F8:F112)</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7"/>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6" s="199" customFormat="1" ht="32.25" customHeight="1">
      <c r="A1" s="231" t="str">
        <f>'N4-5'!A1:F1</f>
        <v>yazbegis, aragvis, fSav-xevsureTisa da TuSeTis dacul teritoriebze arsebuli 7 qoxis saxarjTaRricxvo dokumentacia.</v>
      </c>
      <c r="B1" s="198"/>
      <c r="C1" s="198"/>
      <c r="D1" s="198"/>
      <c r="E1" s="198"/>
      <c r="F1" s="198"/>
    </row>
    <row r="2" spans="1:6" s="376" customFormat="1" ht="13.5" customHeight="1">
      <c r="A2" s="375" t="s">
        <v>664</v>
      </c>
      <c r="B2" s="375"/>
      <c r="C2" s="375"/>
      <c r="D2" s="375"/>
      <c r="E2" s="375"/>
      <c r="F2" s="375"/>
    </row>
    <row r="3" spans="1:6" s="376" customFormat="1" ht="19.5" customHeight="1">
      <c r="A3" s="330" t="s">
        <v>1006</v>
      </c>
      <c r="B3" s="330"/>
      <c r="C3" s="330"/>
      <c r="D3" s="330"/>
      <c r="E3" s="330"/>
      <c r="F3" s="330"/>
    </row>
    <row r="4" spans="1:6" s="335" customFormat="1" ht="20.25" customHeight="1">
      <c r="A4" s="377" t="s">
        <v>1038</v>
      </c>
      <c r="B4" s="377"/>
      <c r="C4" s="377"/>
      <c r="D4" s="377"/>
      <c r="E4" s="377"/>
      <c r="F4" s="377"/>
    </row>
    <row r="5" spans="1:6" s="199" customFormat="1" ht="19.5" customHeight="1" thickBot="1">
      <c r="A5" s="379" t="s">
        <v>516</v>
      </c>
      <c r="B5" s="379"/>
      <c r="C5" s="379"/>
      <c r="D5" s="379"/>
      <c r="E5" s="379"/>
      <c r="F5" s="379"/>
    </row>
    <row r="6" spans="1:6" ht="87.6" customHeight="1">
      <c r="A6" s="381" t="s">
        <v>523</v>
      </c>
      <c r="B6" s="382" t="s">
        <v>524</v>
      </c>
      <c r="C6" s="383" t="s">
        <v>525</v>
      </c>
      <c r="D6" s="384" t="s">
        <v>411</v>
      </c>
      <c r="E6" s="385" t="s">
        <v>526</v>
      </c>
      <c r="F6" s="386" t="s">
        <v>527</v>
      </c>
    </row>
    <row r="7" spans="1:6">
      <c r="A7" s="411">
        <v>1</v>
      </c>
      <c r="B7" s="411">
        <v>2</v>
      </c>
      <c r="C7" s="412">
        <v>3</v>
      </c>
      <c r="D7" s="413" t="s">
        <v>488</v>
      </c>
      <c r="E7" s="414" t="s">
        <v>513</v>
      </c>
      <c r="F7" s="413" t="s">
        <v>515</v>
      </c>
    </row>
    <row r="8" spans="1:6" s="397" customFormat="1" ht="18.75" customHeight="1">
      <c r="A8" s="393" t="s">
        <v>5</v>
      </c>
      <c r="B8" s="394" t="s">
        <v>816</v>
      </c>
      <c r="C8" s="393" t="s">
        <v>667</v>
      </c>
      <c r="D8" s="395">
        <v>1</v>
      </c>
      <c r="E8" s="396"/>
      <c r="F8" s="396"/>
    </row>
    <row r="9" spans="1:6" s="397" customFormat="1" ht="18.75" customHeight="1">
      <c r="A9" s="393" t="s">
        <v>7</v>
      </c>
      <c r="B9" s="394" t="s">
        <v>676</v>
      </c>
      <c r="C9" s="393" t="s">
        <v>667</v>
      </c>
      <c r="D9" s="395">
        <v>1</v>
      </c>
      <c r="E9" s="396"/>
      <c r="F9" s="396"/>
    </row>
    <row r="10" spans="1:6" s="398" customFormat="1" ht="18.75" customHeight="1">
      <c r="A10" s="393" t="s">
        <v>487</v>
      </c>
      <c r="B10" s="394" t="s">
        <v>817</v>
      </c>
      <c r="C10" s="393" t="s">
        <v>667</v>
      </c>
      <c r="D10" s="395">
        <v>10</v>
      </c>
      <c r="E10" s="396"/>
      <c r="F10" s="396"/>
    </row>
    <row r="11" spans="1:6" s="397" customFormat="1" ht="42" customHeight="1">
      <c r="A11" s="422">
        <f t="shared" ref="A11:A26" si="0">A10+1</f>
        <v>4</v>
      </c>
      <c r="B11" s="394" t="s">
        <v>818</v>
      </c>
      <c r="C11" s="393" t="s">
        <v>667</v>
      </c>
      <c r="D11" s="395">
        <v>10</v>
      </c>
      <c r="E11" s="396"/>
      <c r="F11" s="396"/>
    </row>
    <row r="12" spans="1:6" s="397" customFormat="1" ht="31.5" customHeight="1">
      <c r="A12" s="422">
        <f t="shared" si="0"/>
        <v>5</v>
      </c>
      <c r="B12" s="394" t="s">
        <v>819</v>
      </c>
      <c r="C12" s="393" t="s">
        <v>667</v>
      </c>
      <c r="D12" s="395">
        <v>1</v>
      </c>
      <c r="E12" s="396"/>
      <c r="F12" s="396"/>
    </row>
    <row r="13" spans="1:6" s="398" customFormat="1" ht="31.5" customHeight="1">
      <c r="A13" s="422">
        <f t="shared" si="0"/>
        <v>6</v>
      </c>
      <c r="B13" s="394" t="s">
        <v>820</v>
      </c>
      <c r="C13" s="393" t="s">
        <v>667</v>
      </c>
      <c r="D13" s="395">
        <v>1</v>
      </c>
      <c r="E13" s="396"/>
      <c r="F13" s="396"/>
    </row>
    <row r="14" spans="1:6" s="397" customFormat="1" ht="31.5" customHeight="1">
      <c r="A14" s="422">
        <f t="shared" si="0"/>
        <v>7</v>
      </c>
      <c r="B14" s="394" t="s">
        <v>821</v>
      </c>
      <c r="C14" s="393" t="s">
        <v>667</v>
      </c>
      <c r="D14" s="395">
        <v>2</v>
      </c>
      <c r="E14" s="396"/>
      <c r="F14" s="396"/>
    </row>
    <row r="15" spans="1:6" s="398" customFormat="1" ht="31.5" customHeight="1">
      <c r="A15" s="422">
        <f t="shared" si="0"/>
        <v>8</v>
      </c>
      <c r="B15" s="394" t="s">
        <v>822</v>
      </c>
      <c r="C15" s="393" t="s">
        <v>667</v>
      </c>
      <c r="D15" s="395">
        <v>5</v>
      </c>
      <c r="E15" s="396"/>
      <c r="F15" s="396"/>
    </row>
    <row r="16" spans="1:6" s="398" customFormat="1" ht="31.5" customHeight="1">
      <c r="A16" s="422">
        <f t="shared" si="0"/>
        <v>9</v>
      </c>
      <c r="B16" s="394" t="s">
        <v>932</v>
      </c>
      <c r="C16" s="393" t="s">
        <v>824</v>
      </c>
      <c r="D16" s="395">
        <v>100</v>
      </c>
      <c r="E16" s="396"/>
      <c r="F16" s="396"/>
    </row>
    <row r="17" spans="1:6" s="398" customFormat="1" ht="31.5" customHeight="1">
      <c r="A17" s="422">
        <f t="shared" si="0"/>
        <v>10</v>
      </c>
      <c r="B17" s="394" t="s">
        <v>933</v>
      </c>
      <c r="C17" s="393" t="s">
        <v>824</v>
      </c>
      <c r="D17" s="395">
        <v>40</v>
      </c>
      <c r="E17" s="396"/>
      <c r="F17" s="396"/>
    </row>
    <row r="18" spans="1:6" s="398" customFormat="1" ht="21.75" customHeight="1">
      <c r="A18" s="422">
        <f t="shared" si="0"/>
        <v>11</v>
      </c>
      <c r="B18" s="394" t="s">
        <v>826</v>
      </c>
      <c r="C18" s="393"/>
      <c r="D18" s="395">
        <v>2</v>
      </c>
      <c r="E18" s="396"/>
      <c r="F18" s="396"/>
    </row>
    <row r="19" spans="1:6" ht="21.75" customHeight="1">
      <c r="A19" s="422">
        <f t="shared" si="0"/>
        <v>12</v>
      </c>
      <c r="B19" s="394" t="s">
        <v>827</v>
      </c>
      <c r="C19" s="393" t="s">
        <v>667</v>
      </c>
      <c r="D19" s="395">
        <v>1</v>
      </c>
      <c r="E19" s="396"/>
      <c r="F19" s="396"/>
    </row>
    <row r="20" spans="1:6" ht="21.75" customHeight="1">
      <c r="A20" s="422">
        <f t="shared" si="0"/>
        <v>13</v>
      </c>
      <c r="B20" s="394" t="s">
        <v>828</v>
      </c>
      <c r="C20" s="393" t="s">
        <v>667</v>
      </c>
      <c r="D20" s="395">
        <v>1</v>
      </c>
      <c r="E20" s="396"/>
      <c r="F20" s="396"/>
    </row>
    <row r="21" spans="1:6" ht="33" customHeight="1">
      <c r="A21" s="422">
        <f t="shared" si="0"/>
        <v>14</v>
      </c>
      <c r="B21" s="394" t="s">
        <v>829</v>
      </c>
      <c r="C21" s="393" t="s">
        <v>674</v>
      </c>
      <c r="D21" s="395">
        <v>1</v>
      </c>
      <c r="E21" s="396"/>
      <c r="F21" s="396"/>
    </row>
    <row r="22" spans="1:6" ht="33" customHeight="1">
      <c r="A22" s="422">
        <f t="shared" si="0"/>
        <v>15</v>
      </c>
      <c r="B22" s="394" t="s">
        <v>830</v>
      </c>
      <c r="C22" s="393" t="s">
        <v>674</v>
      </c>
      <c r="D22" s="395">
        <v>1</v>
      </c>
      <c r="E22" s="396"/>
      <c r="F22" s="396"/>
    </row>
    <row r="23" spans="1:6" ht="33" customHeight="1">
      <c r="A23" s="422">
        <f t="shared" si="0"/>
        <v>16</v>
      </c>
      <c r="B23" s="394" t="s">
        <v>831</v>
      </c>
      <c r="C23" s="393" t="s">
        <v>674</v>
      </c>
      <c r="D23" s="395">
        <v>1</v>
      </c>
      <c r="E23" s="396"/>
      <c r="F23" s="396"/>
    </row>
    <row r="24" spans="1:6" ht="21.75" customHeight="1">
      <c r="A24" s="422">
        <f t="shared" si="0"/>
        <v>17</v>
      </c>
      <c r="B24" s="394" t="s">
        <v>832</v>
      </c>
      <c r="C24" s="393" t="s">
        <v>674</v>
      </c>
      <c r="D24" s="395">
        <v>30</v>
      </c>
      <c r="E24" s="396"/>
      <c r="F24" s="396"/>
    </row>
    <row r="25" spans="1:6" ht="21.75" customHeight="1">
      <c r="A25" s="422">
        <f t="shared" si="0"/>
        <v>18</v>
      </c>
      <c r="B25" s="394" t="s">
        <v>676</v>
      </c>
      <c r="C25" s="393" t="s">
        <v>667</v>
      </c>
      <c r="D25" s="395">
        <v>1</v>
      </c>
      <c r="E25" s="396"/>
      <c r="F25" s="396"/>
    </row>
    <row r="26" spans="1:6" s="398" customFormat="1" ht="22.5" customHeight="1">
      <c r="A26" s="422">
        <f t="shared" si="0"/>
        <v>19</v>
      </c>
      <c r="B26" s="401" t="s">
        <v>677</v>
      </c>
      <c r="C26" s="416" t="s">
        <v>833</v>
      </c>
      <c r="D26" s="402">
        <v>1</v>
      </c>
      <c r="E26" s="403"/>
      <c r="F26" s="396"/>
    </row>
    <row r="27" spans="1:6" s="398" customFormat="1" ht="20.25" customHeight="1">
      <c r="A27" s="404"/>
      <c r="B27" s="404" t="s">
        <v>407</v>
      </c>
      <c r="C27" s="404"/>
      <c r="D27" s="405"/>
      <c r="E27" s="406"/>
      <c r="F27" s="407">
        <f>SUM(F8:F26)</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5"/>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6" s="199" customFormat="1" ht="32.25" customHeight="1">
      <c r="A1" s="231" t="str">
        <f>'N4-6'!A1:F1</f>
        <v>yazbegis, aragvis, fSav-xevsureTisa da TuSeTis dacul teritoriebze arsebuli 7 qoxis saxarjTaRricxvo dokumentacia.</v>
      </c>
      <c r="B1" s="198"/>
      <c r="C1" s="198"/>
      <c r="D1" s="198"/>
      <c r="E1" s="198"/>
      <c r="F1" s="198"/>
    </row>
    <row r="2" spans="1:6" s="376" customFormat="1" ht="13.5" customHeight="1">
      <c r="A2" s="375" t="s">
        <v>664</v>
      </c>
      <c r="B2" s="375"/>
      <c r="C2" s="375"/>
      <c r="D2" s="375"/>
      <c r="E2" s="375"/>
      <c r="F2" s="375"/>
    </row>
    <row r="3" spans="1:6" s="376" customFormat="1" ht="19.5" customHeight="1">
      <c r="A3" s="330" t="s">
        <v>1006</v>
      </c>
      <c r="B3" s="330"/>
      <c r="C3" s="330"/>
      <c r="D3" s="330"/>
      <c r="E3" s="330"/>
      <c r="F3" s="330"/>
    </row>
    <row r="4" spans="1:6" s="335" customFormat="1" ht="20.25" customHeight="1">
      <c r="A4" s="377" t="s">
        <v>1039</v>
      </c>
      <c r="B4" s="377"/>
      <c r="C4" s="377"/>
      <c r="D4" s="377"/>
      <c r="E4" s="377"/>
      <c r="F4" s="377"/>
    </row>
    <row r="5" spans="1:6" s="199" customFormat="1" ht="19.5" customHeight="1" thickBot="1">
      <c r="A5" s="379" t="s">
        <v>517</v>
      </c>
      <c r="B5" s="379"/>
      <c r="C5" s="379"/>
      <c r="D5" s="379"/>
      <c r="E5" s="379"/>
      <c r="F5" s="379"/>
    </row>
    <row r="6" spans="1:6" ht="87.6" customHeight="1" thickBot="1">
      <c r="A6" s="381" t="s">
        <v>523</v>
      </c>
      <c r="B6" s="382" t="s">
        <v>524</v>
      </c>
      <c r="C6" s="383" t="s">
        <v>525</v>
      </c>
      <c r="D6" s="384" t="s">
        <v>411</v>
      </c>
      <c r="E6" s="385" t="s">
        <v>526</v>
      </c>
      <c r="F6" s="386" t="s">
        <v>527</v>
      </c>
    </row>
    <row r="7" spans="1:6" ht="16.5" thickBot="1">
      <c r="A7" s="387">
        <v>1</v>
      </c>
      <c r="B7" s="388">
        <v>2</v>
      </c>
      <c r="C7" s="389">
        <v>3</v>
      </c>
      <c r="D7" s="390" t="s">
        <v>488</v>
      </c>
      <c r="E7" s="391" t="s">
        <v>513</v>
      </c>
      <c r="F7" s="392" t="s">
        <v>515</v>
      </c>
    </row>
    <row r="8" spans="1:6" s="397" customFormat="1" ht="36.75" customHeight="1">
      <c r="A8" s="393" t="s">
        <v>5</v>
      </c>
      <c r="B8" s="394" t="s">
        <v>935</v>
      </c>
      <c r="C8" s="393" t="s">
        <v>667</v>
      </c>
      <c r="D8" s="395">
        <v>1</v>
      </c>
      <c r="E8" s="396"/>
      <c r="F8" s="396"/>
    </row>
    <row r="9" spans="1:6" s="397" customFormat="1" ht="53.25" customHeight="1">
      <c r="A9" s="393" t="s">
        <v>7</v>
      </c>
      <c r="B9" s="394" t="s">
        <v>936</v>
      </c>
      <c r="C9" s="393" t="s">
        <v>824</v>
      </c>
      <c r="D9" s="395">
        <v>150</v>
      </c>
      <c r="E9" s="396"/>
      <c r="F9" s="396"/>
    </row>
    <row r="10" spans="1:6" s="398" customFormat="1" ht="25.5">
      <c r="A10" s="393" t="s">
        <v>487</v>
      </c>
      <c r="B10" s="394" t="s">
        <v>937</v>
      </c>
      <c r="C10" s="393" t="s">
        <v>674</v>
      </c>
      <c r="D10" s="395">
        <v>70</v>
      </c>
      <c r="E10" s="396"/>
      <c r="F10" s="396"/>
    </row>
    <row r="11" spans="1:6" s="397" customFormat="1" ht="30.75" customHeight="1">
      <c r="A11" s="393" t="s">
        <v>488</v>
      </c>
      <c r="B11" s="394" t="s">
        <v>938</v>
      </c>
      <c r="C11" s="393" t="s">
        <v>824</v>
      </c>
      <c r="D11" s="395">
        <v>30</v>
      </c>
      <c r="E11" s="396"/>
      <c r="F11" s="396"/>
    </row>
    <row r="12" spans="1:6" s="398" customFormat="1" ht="52.5" customHeight="1">
      <c r="A12" s="393" t="s">
        <v>513</v>
      </c>
      <c r="B12" s="394" t="s">
        <v>939</v>
      </c>
      <c r="C12" s="393" t="s">
        <v>674</v>
      </c>
      <c r="D12" s="395">
        <v>37</v>
      </c>
      <c r="E12" s="396"/>
      <c r="F12" s="396"/>
    </row>
    <row r="13" spans="1:6" s="398" customFormat="1" ht="54" customHeight="1">
      <c r="A13" s="393" t="s">
        <v>515</v>
      </c>
      <c r="B13" s="394" t="s">
        <v>840</v>
      </c>
      <c r="C13" s="393" t="s">
        <v>674</v>
      </c>
      <c r="D13" s="395">
        <v>7</v>
      </c>
      <c r="E13" s="396"/>
      <c r="F13" s="396"/>
    </row>
    <row r="14" spans="1:6" s="398" customFormat="1" ht="54" customHeight="1">
      <c r="A14" s="393" t="s">
        <v>675</v>
      </c>
      <c r="B14" s="394" t="s">
        <v>841</v>
      </c>
      <c r="C14" s="393" t="s">
        <v>674</v>
      </c>
      <c r="D14" s="395">
        <v>16</v>
      </c>
      <c r="E14" s="396"/>
      <c r="F14" s="396"/>
    </row>
    <row r="15" spans="1:6" s="398" customFormat="1" ht="54" customHeight="1">
      <c r="A15" s="393" t="s">
        <v>686</v>
      </c>
      <c r="B15" s="394" t="s">
        <v>842</v>
      </c>
      <c r="C15" s="393" t="s">
        <v>674</v>
      </c>
      <c r="D15" s="395">
        <v>10</v>
      </c>
      <c r="E15" s="396"/>
      <c r="F15" s="396"/>
    </row>
    <row r="16" spans="1:6" s="398" customFormat="1" ht="54" customHeight="1">
      <c r="A16" s="393" t="s">
        <v>688</v>
      </c>
      <c r="B16" s="394" t="s">
        <v>843</v>
      </c>
      <c r="C16" s="393" t="s">
        <v>674</v>
      </c>
      <c r="D16" s="395">
        <v>5</v>
      </c>
      <c r="E16" s="396"/>
      <c r="F16" s="396"/>
    </row>
    <row r="17" spans="1:6" ht="38.25">
      <c r="A17" s="393" t="s">
        <v>690</v>
      </c>
      <c r="B17" s="394" t="s">
        <v>844</v>
      </c>
      <c r="C17" s="393" t="s">
        <v>824</v>
      </c>
      <c r="D17" s="395">
        <v>200</v>
      </c>
      <c r="E17" s="396"/>
      <c r="F17" s="396"/>
    </row>
    <row r="18" spans="1:6" ht="38.25">
      <c r="A18" s="393" t="s">
        <v>692</v>
      </c>
      <c r="B18" s="394" t="s">
        <v>845</v>
      </c>
      <c r="C18" s="393" t="s">
        <v>824</v>
      </c>
      <c r="D18" s="395">
        <v>250</v>
      </c>
      <c r="E18" s="396"/>
      <c r="F18" s="396"/>
    </row>
    <row r="19" spans="1:6">
      <c r="A19" s="393" t="s">
        <v>694</v>
      </c>
      <c r="B19" s="394" t="s">
        <v>676</v>
      </c>
      <c r="C19" s="393" t="s">
        <v>667</v>
      </c>
      <c r="D19" s="395">
        <v>1</v>
      </c>
      <c r="E19" s="396"/>
      <c r="F19" s="396"/>
    </row>
    <row r="20" spans="1:6" s="398" customFormat="1" ht="22.5" customHeight="1">
      <c r="A20" s="422">
        <f t="shared" ref="A20" si="0">A19+1</f>
        <v>13</v>
      </c>
      <c r="B20" s="401" t="s">
        <v>677</v>
      </c>
      <c r="C20" s="416" t="s">
        <v>833</v>
      </c>
      <c r="D20" s="402">
        <v>1</v>
      </c>
      <c r="E20" s="403"/>
      <c r="F20" s="396"/>
    </row>
    <row r="21" spans="1:6" s="398" customFormat="1" ht="20.25" customHeight="1">
      <c r="A21" s="404"/>
      <c r="B21" s="404" t="s">
        <v>407</v>
      </c>
      <c r="C21" s="404"/>
      <c r="D21" s="405"/>
      <c r="E21" s="406"/>
      <c r="F21" s="407">
        <f>SUM(F8:F20)</f>
        <v>0</v>
      </c>
    </row>
    <row r="25" spans="1:6">
      <c r="F25" s="398"/>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9"/>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6" s="199" customFormat="1" ht="32.25" customHeight="1">
      <c r="A1" s="231" t="str">
        <f>'N4-7'!A1:F1</f>
        <v>yazbegis, aragvis, fSav-xevsureTisa da TuSeTis dacul teritoriebze arsebuli 7 qoxis saxarjTaRricxvo dokumentacia.</v>
      </c>
      <c r="B1" s="198"/>
      <c r="C1" s="198"/>
      <c r="D1" s="198"/>
      <c r="E1" s="198"/>
      <c r="F1" s="198"/>
    </row>
    <row r="2" spans="1:6" s="376" customFormat="1" ht="13.5" customHeight="1">
      <c r="A2" s="375" t="s">
        <v>664</v>
      </c>
      <c r="B2" s="375"/>
      <c r="C2" s="375"/>
      <c r="D2" s="375"/>
      <c r="E2" s="375"/>
      <c r="F2" s="375"/>
    </row>
    <row r="3" spans="1:6" s="376" customFormat="1" ht="19.5" customHeight="1">
      <c r="A3" s="330" t="s">
        <v>1006</v>
      </c>
      <c r="B3" s="330"/>
      <c r="C3" s="330"/>
      <c r="D3" s="330"/>
      <c r="E3" s="330"/>
      <c r="F3" s="330"/>
    </row>
    <row r="4" spans="1:6" s="335" customFormat="1" ht="20.25" customHeight="1">
      <c r="A4" s="377" t="s">
        <v>1040</v>
      </c>
      <c r="B4" s="377"/>
      <c r="C4" s="377"/>
      <c r="D4" s="377"/>
      <c r="E4" s="377"/>
      <c r="F4" s="377"/>
    </row>
    <row r="5" spans="1:6" s="199" customFormat="1" ht="19.5" customHeight="1" thickBot="1">
      <c r="A5" s="379" t="s">
        <v>847</v>
      </c>
      <c r="B5" s="379"/>
      <c r="C5" s="379"/>
      <c r="D5" s="379"/>
      <c r="E5" s="379"/>
      <c r="F5" s="379"/>
    </row>
    <row r="6" spans="1:6" ht="87.6" customHeight="1" thickBot="1">
      <c r="A6" s="381" t="s">
        <v>523</v>
      </c>
      <c r="B6" s="382" t="s">
        <v>524</v>
      </c>
      <c r="C6" s="383" t="s">
        <v>525</v>
      </c>
      <c r="D6" s="384" t="s">
        <v>411</v>
      </c>
      <c r="E6" s="385" t="s">
        <v>526</v>
      </c>
      <c r="F6" s="386" t="s">
        <v>527</v>
      </c>
    </row>
    <row r="7" spans="1:6" ht="16.5" thickBot="1">
      <c r="A7" s="387">
        <v>1</v>
      </c>
      <c r="B7" s="388">
        <v>2</v>
      </c>
      <c r="C7" s="389">
        <v>3</v>
      </c>
      <c r="D7" s="390" t="s">
        <v>488</v>
      </c>
      <c r="E7" s="391" t="s">
        <v>513</v>
      </c>
      <c r="F7" s="392" t="s">
        <v>515</v>
      </c>
    </row>
    <row r="8" spans="1:6" s="397" customFormat="1" ht="36.75" customHeight="1">
      <c r="A8" s="393" t="s">
        <v>5</v>
      </c>
      <c r="B8" s="394" t="s">
        <v>848</v>
      </c>
      <c r="C8" s="393" t="s">
        <v>674</v>
      </c>
      <c r="D8" s="395">
        <v>1</v>
      </c>
      <c r="E8" s="396"/>
      <c r="F8" s="396"/>
    </row>
    <row r="9" spans="1:6" s="397" customFormat="1" ht="53.25" customHeight="1">
      <c r="A9" s="393" t="s">
        <v>7</v>
      </c>
      <c r="B9" s="394" t="s">
        <v>849</v>
      </c>
      <c r="C9" s="393" t="s">
        <v>674</v>
      </c>
      <c r="D9" s="395">
        <v>2</v>
      </c>
      <c r="E9" s="396"/>
      <c r="F9" s="396"/>
    </row>
    <row r="10" spans="1:6" s="398" customFormat="1" ht="76.5">
      <c r="A10" s="393" t="s">
        <v>487</v>
      </c>
      <c r="B10" s="394" t="s">
        <v>850</v>
      </c>
      <c r="C10" s="393" t="s">
        <v>674</v>
      </c>
      <c r="D10" s="395">
        <v>4</v>
      </c>
      <c r="E10" s="396"/>
      <c r="F10" s="396"/>
    </row>
    <row r="11" spans="1:6" s="397" customFormat="1" ht="31.5" customHeight="1">
      <c r="A11" s="393" t="s">
        <v>488</v>
      </c>
      <c r="B11" s="394" t="s">
        <v>851</v>
      </c>
      <c r="C11" s="393" t="s">
        <v>824</v>
      </c>
      <c r="D11" s="395">
        <v>40</v>
      </c>
      <c r="E11" s="396"/>
      <c r="F11" s="396"/>
    </row>
    <row r="12" spans="1:6" s="398" customFormat="1" ht="31.5" customHeight="1">
      <c r="A12" s="393" t="s">
        <v>513</v>
      </c>
      <c r="B12" s="394" t="s">
        <v>852</v>
      </c>
      <c r="C12" s="393" t="s">
        <v>674</v>
      </c>
      <c r="D12" s="395">
        <v>10</v>
      </c>
      <c r="E12" s="396"/>
      <c r="F12" s="396"/>
    </row>
    <row r="13" spans="1:6" s="398" customFormat="1" ht="31.5" customHeight="1">
      <c r="A13" s="393" t="s">
        <v>515</v>
      </c>
      <c r="B13" s="394" t="s">
        <v>853</v>
      </c>
      <c r="C13" s="393" t="s">
        <v>824</v>
      </c>
      <c r="D13" s="395">
        <v>36</v>
      </c>
      <c r="E13" s="396"/>
      <c r="F13" s="396"/>
    </row>
    <row r="14" spans="1:6" s="398" customFormat="1" ht="31.5" customHeight="1">
      <c r="A14" s="393" t="s">
        <v>675</v>
      </c>
      <c r="B14" s="394" t="s">
        <v>854</v>
      </c>
      <c r="C14" s="393" t="s">
        <v>667</v>
      </c>
      <c r="D14" s="395">
        <v>1</v>
      </c>
      <c r="E14" s="396"/>
      <c r="F14" s="396"/>
    </row>
    <row r="15" spans="1:6" s="398" customFormat="1" ht="31.5" customHeight="1">
      <c r="A15" s="393" t="s">
        <v>686</v>
      </c>
      <c r="B15" s="394" t="s">
        <v>942</v>
      </c>
      <c r="C15" s="393" t="s">
        <v>667</v>
      </c>
      <c r="D15" s="395">
        <v>1</v>
      </c>
      <c r="E15" s="396"/>
      <c r="F15" s="396"/>
    </row>
    <row r="16" spans="1:6" s="398" customFormat="1" ht="31.5" customHeight="1">
      <c r="A16" s="393" t="s">
        <v>688</v>
      </c>
      <c r="B16" s="394" t="s">
        <v>943</v>
      </c>
      <c r="C16" s="393" t="s">
        <v>667</v>
      </c>
      <c r="D16" s="395">
        <v>1</v>
      </c>
      <c r="E16" s="396"/>
      <c r="F16" s="396"/>
    </row>
    <row r="17" spans="1:6">
      <c r="A17" s="393" t="s">
        <v>690</v>
      </c>
      <c r="B17" s="394" t="s">
        <v>854</v>
      </c>
      <c r="C17" s="393" t="s">
        <v>667</v>
      </c>
      <c r="D17" s="395">
        <v>1</v>
      </c>
      <c r="E17" s="396"/>
      <c r="F17" s="396"/>
    </row>
    <row r="18" spans="1:6" s="398" customFormat="1" ht="22.5" customHeight="1">
      <c r="A18" s="393" t="s">
        <v>692</v>
      </c>
      <c r="B18" s="401" t="s">
        <v>702</v>
      </c>
      <c r="C18" s="393" t="s">
        <v>667</v>
      </c>
      <c r="D18" s="402">
        <v>1</v>
      </c>
      <c r="E18" s="403"/>
      <c r="F18" s="396"/>
    </row>
    <row r="19" spans="1:6" s="398" customFormat="1" ht="20.25" customHeight="1">
      <c r="A19" s="404"/>
      <c r="B19" s="404" t="s">
        <v>407</v>
      </c>
      <c r="C19" s="404"/>
      <c r="D19" s="405"/>
      <c r="E19" s="406"/>
      <c r="F19" s="407">
        <f>SUM(F8:F18)</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O16"/>
  <sheetViews>
    <sheetView zoomScaleNormal="100" workbookViewId="0">
      <selection activeCell="B8" sqref="B8"/>
    </sheetView>
  </sheetViews>
  <sheetFormatPr defaultRowHeight="12.75"/>
  <cols>
    <col min="1" max="1" width="7.7109375" style="104" customWidth="1"/>
    <col min="2" max="2" width="10.7109375" style="104" customWidth="1"/>
    <col min="3" max="3" width="45.7109375" style="104" customWidth="1"/>
    <col min="4" max="4" width="21" style="104" customWidth="1"/>
    <col min="5" max="16384" width="9.140625" style="104"/>
  </cols>
  <sheetData>
    <row r="1" spans="1:119" s="199" customFormat="1" ht="52.5" customHeight="1">
      <c r="A1" s="231" t="str">
        <f>'N4-8'!A1:F1</f>
        <v>yazbegis, aragvis, fSav-xevsureTisa da TuSeTis dacul teritoriebze arsebuli 7 qoxis saxarjTaRricxvo dokumentacia.</v>
      </c>
      <c r="B1" s="198"/>
      <c r="C1" s="198"/>
      <c r="D1" s="198"/>
    </row>
    <row r="2" spans="1:119" s="201" customFormat="1" ht="24" customHeight="1">
      <c r="A2" s="200" t="s">
        <v>499</v>
      </c>
      <c r="B2" s="200"/>
      <c r="C2" s="200"/>
      <c r="D2" s="200"/>
    </row>
    <row r="3" spans="1:119" s="201" customFormat="1" ht="23.25" customHeight="1" thickBot="1">
      <c r="A3" s="202" t="s">
        <v>1041</v>
      </c>
      <c r="B3" s="202"/>
      <c r="C3" s="202"/>
      <c r="D3" s="202"/>
    </row>
    <row r="4" spans="1:119" s="201" customFormat="1" ht="108" customHeight="1" thickBot="1">
      <c r="A4" s="203" t="s">
        <v>506</v>
      </c>
      <c r="B4" s="204" t="s">
        <v>392</v>
      </c>
      <c r="C4" s="205" t="s">
        <v>507</v>
      </c>
      <c r="D4" s="205" t="s">
        <v>508</v>
      </c>
    </row>
    <row r="5" spans="1:119" s="201" customFormat="1" ht="20.25" customHeight="1" thickBot="1">
      <c r="A5" s="206">
        <v>1</v>
      </c>
      <c r="B5" s="207">
        <v>2</v>
      </c>
      <c r="C5" s="206">
        <v>3</v>
      </c>
      <c r="D5" s="206">
        <v>4</v>
      </c>
    </row>
    <row r="6" spans="1:119" s="201" customFormat="1" ht="22.5" customHeight="1">
      <c r="A6" s="208">
        <v>1</v>
      </c>
      <c r="B6" s="424" t="s">
        <v>1042</v>
      </c>
      <c r="C6" s="210" t="s">
        <v>509</v>
      </c>
      <c r="D6" s="425">
        <f>'N5-1'!F84</f>
        <v>0</v>
      </c>
    </row>
    <row r="7" spans="1:119" s="216" customFormat="1" ht="39.75" customHeight="1">
      <c r="A7" s="212" t="s">
        <v>7</v>
      </c>
      <c r="B7" s="424" t="s">
        <v>1043</v>
      </c>
      <c r="C7" s="214" t="s">
        <v>510</v>
      </c>
      <c r="D7" s="215">
        <f>'N5-2'!F17</f>
        <v>0</v>
      </c>
    </row>
    <row r="8" spans="1:119" s="201" customFormat="1" ht="22.5" customHeight="1">
      <c r="A8" s="217">
        <v>3</v>
      </c>
      <c r="B8" s="424" t="s">
        <v>1044</v>
      </c>
      <c r="C8" s="218" t="s">
        <v>511</v>
      </c>
      <c r="D8" s="215">
        <f>'N5-3'!F16</f>
        <v>0</v>
      </c>
    </row>
    <row r="9" spans="1:119" s="201" customFormat="1" ht="22.5" customHeight="1">
      <c r="A9" s="212" t="s">
        <v>488</v>
      </c>
      <c r="B9" s="424" t="s">
        <v>1045</v>
      </c>
      <c r="C9" s="218" t="s">
        <v>512</v>
      </c>
      <c r="D9" s="215">
        <f>'N5-4'!F25</f>
        <v>0</v>
      </c>
    </row>
    <row r="10" spans="1:119" s="201" customFormat="1" ht="22.5" customHeight="1">
      <c r="A10" s="212" t="s">
        <v>513</v>
      </c>
      <c r="B10" s="424" t="s">
        <v>1046</v>
      </c>
      <c r="C10" s="218" t="s">
        <v>516</v>
      </c>
      <c r="D10" s="215">
        <f>'N5-5'!F27</f>
        <v>0</v>
      </c>
    </row>
    <row r="11" spans="1:119" s="201" customFormat="1" ht="39" customHeight="1">
      <c r="A11" s="217">
        <v>6</v>
      </c>
      <c r="B11" s="424" t="s">
        <v>1047</v>
      </c>
      <c r="C11" s="219" t="s">
        <v>517</v>
      </c>
      <c r="D11" s="215">
        <f>'N5-6'!F21</f>
        <v>0</v>
      </c>
    </row>
    <row r="12" spans="1:119" s="201" customFormat="1" ht="33.75" customHeight="1">
      <c r="A12" s="217">
        <v>7</v>
      </c>
      <c r="B12" s="424" t="s">
        <v>1048</v>
      </c>
      <c r="C12" s="219" t="s">
        <v>518</v>
      </c>
      <c r="D12" s="215">
        <f>'N5-7'!F19</f>
        <v>0</v>
      </c>
    </row>
    <row r="13" spans="1:119" s="201" customFormat="1" ht="22.5" customHeight="1" thickBot="1">
      <c r="A13" s="220"/>
      <c r="B13" s="221"/>
      <c r="C13" s="222" t="s">
        <v>519</v>
      </c>
      <c r="D13" s="223">
        <f>SUM(D6:D12)</f>
        <v>0</v>
      </c>
    </row>
    <row r="14" spans="1:119" s="225" customFormat="1" ht="13.5">
      <c r="A14" s="224"/>
    </row>
    <row r="15" spans="1:119" s="226" customFormat="1"/>
    <row r="16" spans="1:119" s="229" customFormat="1" ht="15">
      <c r="A16" s="228"/>
      <c r="B16" s="228"/>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0"/>
      <c r="AK16" s="230"/>
      <c r="AL16" s="230"/>
      <c r="AM16" s="230"/>
      <c r="AN16" s="230"/>
      <c r="AO16" s="230"/>
      <c r="AP16" s="230"/>
      <c r="AQ16" s="230"/>
      <c r="AR16" s="230"/>
      <c r="AS16" s="230"/>
      <c r="AT16" s="230"/>
      <c r="AU16" s="230"/>
      <c r="AV16" s="230"/>
      <c r="AW16" s="230"/>
      <c r="AX16" s="230"/>
      <c r="AY16" s="230"/>
      <c r="AZ16" s="230"/>
      <c r="BA16" s="230"/>
      <c r="BB16" s="230"/>
      <c r="BC16" s="230"/>
      <c r="BD16" s="230"/>
      <c r="BE16" s="230"/>
      <c r="BF16" s="230"/>
      <c r="BG16" s="230"/>
      <c r="BH16" s="230"/>
      <c r="BI16" s="230"/>
      <c r="BJ16" s="230"/>
      <c r="BK16" s="230"/>
      <c r="BL16" s="230"/>
      <c r="BM16" s="230"/>
      <c r="BN16" s="230"/>
      <c r="BO16" s="230"/>
      <c r="BP16" s="230"/>
      <c r="BQ16" s="230"/>
      <c r="BR16" s="230"/>
      <c r="BS16" s="230"/>
      <c r="BT16" s="230"/>
      <c r="BU16" s="230"/>
      <c r="BV16" s="230"/>
      <c r="BW16" s="230"/>
      <c r="BX16" s="230"/>
      <c r="BY16" s="230"/>
      <c r="BZ16" s="230"/>
      <c r="CA16" s="230"/>
      <c r="CB16" s="230"/>
      <c r="CC16" s="230"/>
      <c r="CD16" s="230"/>
      <c r="CE16" s="230"/>
      <c r="CF16" s="230"/>
      <c r="CG16" s="230"/>
      <c r="CH16" s="230"/>
      <c r="CI16" s="230"/>
      <c r="CJ16" s="230"/>
      <c r="CK16" s="230"/>
      <c r="CL16" s="230"/>
      <c r="CM16" s="230"/>
      <c r="CN16" s="230"/>
      <c r="CO16" s="230"/>
      <c r="CP16" s="230"/>
      <c r="CQ16" s="230"/>
      <c r="CR16" s="230"/>
      <c r="CS16" s="230"/>
      <c r="CT16" s="230"/>
      <c r="CU16" s="230"/>
      <c r="CV16" s="230"/>
      <c r="CW16" s="230"/>
      <c r="CX16" s="230"/>
      <c r="CY16" s="230"/>
      <c r="CZ16" s="230"/>
      <c r="DA16" s="230"/>
      <c r="DB16" s="230"/>
      <c r="DC16" s="230"/>
      <c r="DD16" s="230"/>
      <c r="DE16" s="230"/>
      <c r="DF16" s="230"/>
      <c r="DG16" s="230"/>
      <c r="DH16" s="230"/>
      <c r="DI16" s="230"/>
      <c r="DJ16" s="230"/>
      <c r="DK16" s="230"/>
      <c r="DL16" s="230"/>
      <c r="DM16" s="230"/>
      <c r="DN16" s="230"/>
      <c r="DO16" s="230"/>
    </row>
  </sheetData>
  <mergeCells count="3">
    <mergeCell ref="A1:D1"/>
    <mergeCell ref="A2:D2"/>
    <mergeCell ref="A3:D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B3"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151</v>
      </c>
      <c r="B3" s="64"/>
      <c r="C3" s="64"/>
      <c r="D3" s="64"/>
      <c r="E3" s="64"/>
      <c r="F3" s="64"/>
    </row>
    <row r="4" spans="1:6">
      <c r="A4" s="63" t="s">
        <v>48</v>
      </c>
      <c r="B4" s="64"/>
      <c r="C4" s="64"/>
      <c r="D4" s="64"/>
      <c r="E4" s="64"/>
      <c r="F4" s="64"/>
    </row>
    <row r="5" spans="1:6">
      <c r="A5" s="65" t="s">
        <v>152</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2</v>
      </c>
      <c r="E7" s="3"/>
      <c r="F7" s="12"/>
    </row>
    <row r="8" spans="1:6">
      <c r="A8" s="3">
        <v>2</v>
      </c>
      <c r="B8" s="18" t="s">
        <v>113</v>
      </c>
      <c r="C8" s="3" t="s">
        <v>47</v>
      </c>
      <c r="D8" s="3">
        <v>4</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17">
        <v>0.56699999999999995</v>
      </c>
      <c r="E11" s="17"/>
      <c r="F11" s="12"/>
    </row>
    <row r="12" spans="1:6">
      <c r="A12" s="28">
        <v>6</v>
      </c>
      <c r="B12" s="18" t="s">
        <v>123</v>
      </c>
      <c r="C12" s="3" t="s">
        <v>52</v>
      </c>
      <c r="D12" s="17">
        <v>35.4</v>
      </c>
      <c r="E12" s="17"/>
      <c r="F12" s="12"/>
    </row>
    <row r="13" spans="1:6">
      <c r="A13" s="28">
        <v>7</v>
      </c>
      <c r="B13" s="18" t="s">
        <v>130</v>
      </c>
      <c r="C13" s="3" t="s">
        <v>46</v>
      </c>
      <c r="D13" s="17">
        <f>D16*0.78</f>
        <v>6.24</v>
      </c>
      <c r="E13" s="17"/>
      <c r="F13" s="12"/>
    </row>
    <row r="14" spans="1:6">
      <c r="A14" s="28">
        <v>8</v>
      </c>
      <c r="B14" s="18" t="s">
        <v>120</v>
      </c>
      <c r="C14" s="3" t="s">
        <v>119</v>
      </c>
      <c r="D14" s="3">
        <f>101*2+4*4</f>
        <v>218</v>
      </c>
      <c r="E14" s="3"/>
      <c r="F14" s="12"/>
    </row>
    <row r="15" spans="1:6">
      <c r="A15" s="28">
        <v>9</v>
      </c>
      <c r="B15" s="21" t="s">
        <v>121</v>
      </c>
      <c r="C15" s="3" t="s">
        <v>51</v>
      </c>
      <c r="D15" s="3">
        <v>334</v>
      </c>
      <c r="E15" s="3"/>
      <c r="F15" s="12"/>
    </row>
    <row r="16" spans="1:6" ht="30">
      <c r="A16" s="28">
        <v>10</v>
      </c>
      <c r="B16" s="18" t="s">
        <v>122</v>
      </c>
      <c r="C16" s="3" t="s">
        <v>115</v>
      </c>
      <c r="D16" s="3">
        <v>8</v>
      </c>
      <c r="E16" s="3"/>
      <c r="F16" s="12"/>
    </row>
    <row r="17" spans="1:6">
      <c r="A17" s="28">
        <v>11</v>
      </c>
      <c r="B17" s="18" t="s">
        <v>124</v>
      </c>
      <c r="C17" s="3" t="s">
        <v>118</v>
      </c>
      <c r="D17" s="3">
        <f>D11+(D9*2.5)</f>
        <v>1.7669999999999999</v>
      </c>
      <c r="E17" s="3"/>
      <c r="F17" s="12"/>
    </row>
    <row r="18" spans="1:6">
      <c r="A18" s="28">
        <v>12</v>
      </c>
      <c r="B18" s="21" t="s">
        <v>125</v>
      </c>
      <c r="C18" s="3" t="s">
        <v>118</v>
      </c>
      <c r="D18" s="3">
        <f>D17</f>
        <v>1.7669999999999999</v>
      </c>
      <c r="E18" s="3"/>
      <c r="F18" s="12"/>
    </row>
    <row r="19" spans="1:6">
      <c r="A19" s="28">
        <v>13</v>
      </c>
      <c r="B19" s="18" t="s">
        <v>127</v>
      </c>
      <c r="C19" s="3" t="s">
        <v>128</v>
      </c>
      <c r="D19" s="3">
        <v>50</v>
      </c>
      <c r="E19" s="3"/>
      <c r="F19" s="12"/>
    </row>
    <row r="20" spans="1:6">
      <c r="A20" s="28">
        <v>14</v>
      </c>
      <c r="B20" s="18" t="s">
        <v>386</v>
      </c>
      <c r="C20" s="28" t="s">
        <v>118</v>
      </c>
      <c r="D20" s="28">
        <f>D11</f>
        <v>0.56699999999999995</v>
      </c>
      <c r="E20" s="28"/>
      <c r="F20" s="12"/>
    </row>
    <row r="21" spans="1:6">
      <c r="A21" s="28">
        <v>15</v>
      </c>
      <c r="B21" s="18" t="s">
        <v>150</v>
      </c>
      <c r="C21" s="6" t="s">
        <v>51</v>
      </c>
      <c r="D21" s="3">
        <v>2</v>
      </c>
      <c r="E21" s="3"/>
      <c r="F21" s="12"/>
    </row>
    <row r="22" spans="1:6">
      <c r="A22" s="28">
        <v>16</v>
      </c>
      <c r="B22" s="18" t="s">
        <v>129</v>
      </c>
      <c r="C22" s="3" t="s">
        <v>115</v>
      </c>
      <c r="D22" s="3">
        <f>D16</f>
        <v>8</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87"/>
  <sheetViews>
    <sheetView topLeftCell="A75" zoomScaleNormal="100" workbookViewId="0">
      <selection activeCell="B8" sqref="B8"/>
    </sheetView>
  </sheetViews>
  <sheetFormatPr defaultRowHeight="12.75"/>
  <cols>
    <col min="1" max="1" width="5.5703125" style="104" customWidth="1"/>
    <col min="2" max="2" width="47.140625" style="104" bestFit="1" customWidth="1"/>
    <col min="3" max="5" width="7.5703125" style="104" customWidth="1"/>
    <col min="6" max="6" width="11.140625" style="104" customWidth="1"/>
    <col min="7" max="16384" width="9.140625" style="104"/>
  </cols>
  <sheetData>
    <row r="1" spans="1:7" s="199" customFormat="1" ht="32.25" customHeight="1">
      <c r="A1" s="231" t="str">
        <f>ob.N5!A1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1049</v>
      </c>
      <c r="B3" s="330"/>
      <c r="C3" s="330"/>
      <c r="D3" s="330"/>
      <c r="E3" s="330"/>
      <c r="F3" s="330"/>
    </row>
    <row r="4" spans="1:7" s="335" customFormat="1" ht="20.25" customHeight="1">
      <c r="A4" s="377" t="s">
        <v>1050</v>
      </c>
      <c r="B4" s="377"/>
      <c r="C4" s="377"/>
      <c r="D4" s="377"/>
      <c r="E4" s="377"/>
      <c r="F4" s="377"/>
      <c r="G4" s="378"/>
    </row>
    <row r="5" spans="1:7" s="199" customFormat="1" ht="19.5" customHeight="1" thickBot="1">
      <c r="A5" s="379" t="s">
        <v>522</v>
      </c>
      <c r="B5" s="379"/>
      <c r="C5" s="379"/>
      <c r="D5" s="379"/>
      <c r="E5" s="379"/>
      <c r="F5" s="379"/>
      <c r="G5" s="380"/>
    </row>
    <row r="6" spans="1:7" ht="46.5" customHeight="1">
      <c r="A6" s="547" t="s">
        <v>523</v>
      </c>
      <c r="B6" s="548" t="s">
        <v>524</v>
      </c>
      <c r="C6" s="552" t="s">
        <v>525</v>
      </c>
      <c r="D6" s="570" t="s">
        <v>411</v>
      </c>
      <c r="E6" s="552" t="s">
        <v>526</v>
      </c>
      <c r="F6" s="571" t="s">
        <v>527</v>
      </c>
    </row>
    <row r="7" spans="1:7" ht="49.5" customHeight="1" thickBot="1">
      <c r="A7" s="553"/>
      <c r="B7" s="554"/>
      <c r="C7" s="558"/>
      <c r="D7" s="572"/>
      <c r="E7" s="558"/>
      <c r="F7" s="573"/>
    </row>
    <row r="8" spans="1:7" s="584" customFormat="1" ht="20.25" customHeight="1" thickBot="1">
      <c r="A8" s="582">
        <v>1</v>
      </c>
      <c r="B8" s="583">
        <v>2</v>
      </c>
      <c r="C8" s="582">
        <v>3</v>
      </c>
      <c r="D8" s="576">
        <v>4</v>
      </c>
      <c r="E8" s="577">
        <v>5</v>
      </c>
      <c r="F8" s="578">
        <v>6</v>
      </c>
    </row>
    <row r="9" spans="1:7" ht="16.5">
      <c r="A9" s="441"/>
      <c r="B9" s="442" t="s">
        <v>528</v>
      </c>
      <c r="C9" s="441"/>
      <c r="D9" s="253"/>
      <c r="E9" s="253"/>
      <c r="F9" s="585"/>
    </row>
    <row r="10" spans="1:7" ht="54" customHeight="1">
      <c r="A10" s="445">
        <v>1</v>
      </c>
      <c r="B10" s="358" t="s">
        <v>862</v>
      </c>
      <c r="C10" s="366" t="s">
        <v>530</v>
      </c>
      <c r="D10" s="259">
        <v>25</v>
      </c>
      <c r="E10" s="259"/>
      <c r="F10" s="360"/>
    </row>
    <row r="11" spans="1:7" ht="47.25">
      <c r="A11" s="366">
        <v>2</v>
      </c>
      <c r="B11" s="358" t="s">
        <v>531</v>
      </c>
      <c r="C11" s="366" t="s">
        <v>530</v>
      </c>
      <c r="D11" s="259">
        <v>20</v>
      </c>
      <c r="E11" s="259"/>
      <c r="F11" s="360"/>
    </row>
    <row r="12" spans="1:7" ht="15.75">
      <c r="A12" s="366">
        <v>3</v>
      </c>
      <c r="B12" s="358" t="s">
        <v>532</v>
      </c>
      <c r="C12" s="366" t="s">
        <v>530</v>
      </c>
      <c r="D12" s="259">
        <v>5</v>
      </c>
      <c r="E12" s="259"/>
      <c r="F12" s="360"/>
    </row>
    <row r="13" spans="1:7" ht="16.5">
      <c r="A13" s="441"/>
      <c r="B13" s="442" t="s">
        <v>533</v>
      </c>
      <c r="C13" s="441"/>
      <c r="D13" s="253"/>
      <c r="E13" s="253"/>
      <c r="F13" s="360"/>
    </row>
    <row r="14" spans="1:7" ht="47.25">
      <c r="A14" s="366">
        <v>1</v>
      </c>
      <c r="B14" s="358" t="s">
        <v>1051</v>
      </c>
      <c r="C14" s="366" t="s">
        <v>530</v>
      </c>
      <c r="D14" s="259">
        <f>0.3*41+0.35*2+0.4+6.5</f>
        <v>19.899999999999999</v>
      </c>
      <c r="E14" s="266"/>
      <c r="F14" s="360"/>
    </row>
    <row r="15" spans="1:7" ht="15.75">
      <c r="A15" s="281" t="s">
        <v>535</v>
      </c>
      <c r="B15" s="280" t="s">
        <v>536</v>
      </c>
      <c r="C15" s="281" t="s">
        <v>537</v>
      </c>
      <c r="D15" s="586">
        <f>(5.86*41+9.2*2+15.06+6.79)/1000</f>
        <v>0.28051000000000004</v>
      </c>
      <c r="E15" s="268"/>
      <c r="F15" s="360"/>
    </row>
    <row r="16" spans="1:7" s="584" customFormat="1" ht="15.75">
      <c r="A16" s="281" t="s">
        <v>538</v>
      </c>
      <c r="B16" s="280" t="s">
        <v>539</v>
      </c>
      <c r="C16" s="281" t="s">
        <v>537</v>
      </c>
      <c r="D16" s="586">
        <f>(18.94+2.4)*41/1000+(27.78+2.4)*2/1000+(32.83+2.4+19.89+6.66)/1000</f>
        <v>0.99707999999999997</v>
      </c>
      <c r="E16" s="268"/>
      <c r="F16" s="360"/>
    </row>
    <row r="17" spans="1:6" ht="15.75">
      <c r="A17" s="366">
        <v>2</v>
      </c>
      <c r="B17" s="358" t="s">
        <v>1052</v>
      </c>
      <c r="C17" s="366" t="s">
        <v>537</v>
      </c>
      <c r="D17" s="450">
        <f>(2.84+1.82)*3/1000</f>
        <v>1.3980000000000001E-2</v>
      </c>
      <c r="E17" s="266"/>
      <c r="F17" s="360"/>
    </row>
    <row r="18" spans="1:6" ht="15.75">
      <c r="A18" s="281" t="s">
        <v>545</v>
      </c>
      <c r="B18" s="452" t="s">
        <v>1053</v>
      </c>
      <c r="C18" s="281" t="s">
        <v>474</v>
      </c>
      <c r="D18" s="448">
        <v>9</v>
      </c>
      <c r="E18" s="270"/>
      <c r="F18" s="360"/>
    </row>
    <row r="19" spans="1:6" ht="15.75">
      <c r="A19" s="281" t="s">
        <v>546</v>
      </c>
      <c r="B19" s="452" t="s">
        <v>1054</v>
      </c>
      <c r="C19" s="281" t="s">
        <v>474</v>
      </c>
      <c r="D19" s="448">
        <v>9</v>
      </c>
      <c r="E19" s="270"/>
      <c r="F19" s="360"/>
    </row>
    <row r="20" spans="1:6" ht="31.5">
      <c r="A20" s="366">
        <v>3</v>
      </c>
      <c r="B20" s="358" t="s">
        <v>1055</v>
      </c>
      <c r="C20" s="366" t="s">
        <v>537</v>
      </c>
      <c r="D20" s="449">
        <f>9.9*44/1000</f>
        <v>0.43560000000000004</v>
      </c>
      <c r="E20" s="266"/>
      <c r="F20" s="360"/>
    </row>
    <row r="21" spans="1:6" ht="31.5">
      <c r="A21" s="366">
        <v>4</v>
      </c>
      <c r="B21" s="358" t="s">
        <v>865</v>
      </c>
      <c r="C21" s="366" t="s">
        <v>537</v>
      </c>
      <c r="D21" s="366">
        <f>4.452+8.64*50/1000</f>
        <v>4.8840000000000003</v>
      </c>
      <c r="E21" s="266"/>
      <c r="F21" s="360"/>
    </row>
    <row r="22" spans="1:6" ht="31.5">
      <c r="A22" s="445">
        <v>5</v>
      </c>
      <c r="B22" s="358" t="s">
        <v>1056</v>
      </c>
      <c r="C22" s="366" t="s">
        <v>537</v>
      </c>
      <c r="D22" s="450">
        <v>0.89837999999999996</v>
      </c>
      <c r="E22" s="266"/>
      <c r="F22" s="360"/>
    </row>
    <row r="23" spans="1:6" ht="31.5">
      <c r="A23" s="366">
        <v>6</v>
      </c>
      <c r="B23" s="358" t="s">
        <v>572</v>
      </c>
      <c r="C23" s="366" t="s">
        <v>530</v>
      </c>
      <c r="D23" s="259">
        <v>5.76</v>
      </c>
      <c r="E23" s="266"/>
      <c r="F23" s="360"/>
    </row>
    <row r="24" spans="1:6" ht="31.5">
      <c r="A24" s="445">
        <v>7</v>
      </c>
      <c r="B24" s="358" t="s">
        <v>568</v>
      </c>
      <c r="C24" s="366" t="s">
        <v>537</v>
      </c>
      <c r="D24" s="449">
        <v>0.70699999999999996</v>
      </c>
      <c r="E24" s="266"/>
      <c r="F24" s="360"/>
    </row>
    <row r="25" spans="1:6" ht="31.5">
      <c r="A25" s="366">
        <v>8</v>
      </c>
      <c r="B25" s="358" t="s">
        <v>1057</v>
      </c>
      <c r="C25" s="366" t="s">
        <v>537</v>
      </c>
      <c r="D25" s="366">
        <v>0.17680000000000001</v>
      </c>
      <c r="E25" s="266"/>
      <c r="F25" s="360"/>
    </row>
    <row r="26" spans="1:6" ht="31.5">
      <c r="A26" s="359">
        <v>9</v>
      </c>
      <c r="B26" s="358" t="s">
        <v>569</v>
      </c>
      <c r="C26" s="359" t="s">
        <v>537</v>
      </c>
      <c r="D26" s="451">
        <f>D21+D22+D24+D25</f>
        <v>6.6661799999999998</v>
      </c>
      <c r="E26" s="274"/>
      <c r="F26" s="360"/>
    </row>
    <row r="27" spans="1:6" ht="15.75">
      <c r="A27" s="359">
        <v>10</v>
      </c>
      <c r="B27" s="358" t="s">
        <v>570</v>
      </c>
      <c r="C27" s="359" t="s">
        <v>554</v>
      </c>
      <c r="D27" s="263">
        <f>150+12+32+8</f>
        <v>202</v>
      </c>
      <c r="E27" s="274"/>
      <c r="F27" s="360"/>
    </row>
    <row r="28" spans="1:6" ht="31.5">
      <c r="A28" s="362">
        <v>11</v>
      </c>
      <c r="B28" s="358" t="s">
        <v>571</v>
      </c>
      <c r="C28" s="359" t="s">
        <v>537</v>
      </c>
      <c r="D28" s="451">
        <f>D26</f>
        <v>6.6661799999999998</v>
      </c>
      <c r="E28" s="274"/>
      <c r="F28" s="360"/>
    </row>
    <row r="29" spans="1:6" ht="31.5">
      <c r="A29" s="400">
        <v>12</v>
      </c>
      <c r="B29" s="358" t="s">
        <v>573</v>
      </c>
      <c r="C29" s="366" t="s">
        <v>530</v>
      </c>
      <c r="D29" s="278">
        <f>7.68+1.9+4.9</f>
        <v>14.48</v>
      </c>
      <c r="E29" s="266"/>
      <c r="F29" s="360"/>
    </row>
    <row r="30" spans="1:6" ht="31.5">
      <c r="A30" s="400">
        <v>13</v>
      </c>
      <c r="B30" s="358" t="s">
        <v>868</v>
      </c>
      <c r="C30" s="366" t="s">
        <v>530</v>
      </c>
      <c r="D30" s="278">
        <v>21.62</v>
      </c>
      <c r="E30" s="266"/>
      <c r="F30" s="360"/>
    </row>
    <row r="31" spans="1:6" ht="15.75">
      <c r="A31" s="281">
        <v>14</v>
      </c>
      <c r="B31" s="452" t="s">
        <v>575</v>
      </c>
      <c r="C31" s="281" t="s">
        <v>530</v>
      </c>
      <c r="D31" s="268">
        <f>D23+D29+D30</f>
        <v>41.86</v>
      </c>
      <c r="E31" s="270"/>
      <c r="F31" s="360"/>
    </row>
    <row r="32" spans="1:6" ht="31.5">
      <c r="A32" s="400">
        <v>19</v>
      </c>
      <c r="B32" s="358" t="s">
        <v>1058</v>
      </c>
      <c r="C32" s="366" t="s">
        <v>537</v>
      </c>
      <c r="D32" s="366">
        <v>5.6396800000000002</v>
      </c>
      <c r="E32" s="266"/>
      <c r="F32" s="360"/>
    </row>
    <row r="33" spans="1:6" ht="15.75">
      <c r="A33" s="281" t="s">
        <v>577</v>
      </c>
      <c r="B33" s="280" t="s">
        <v>578</v>
      </c>
      <c r="C33" s="281" t="s">
        <v>474</v>
      </c>
      <c r="D33" s="268">
        <v>530</v>
      </c>
      <c r="E33" s="268"/>
      <c r="F33" s="360"/>
    </row>
    <row r="34" spans="1:6" ht="15.75">
      <c r="A34" s="281" t="s">
        <v>579</v>
      </c>
      <c r="B34" s="280" t="s">
        <v>580</v>
      </c>
      <c r="C34" s="281" t="s">
        <v>474</v>
      </c>
      <c r="D34" s="268">
        <v>300</v>
      </c>
      <c r="E34" s="268"/>
      <c r="F34" s="360"/>
    </row>
    <row r="35" spans="1:6" ht="16.5">
      <c r="A35" s="441"/>
      <c r="B35" s="442" t="s">
        <v>581</v>
      </c>
      <c r="C35" s="441"/>
      <c r="D35" s="253"/>
      <c r="E35" s="253"/>
      <c r="F35" s="360"/>
    </row>
    <row r="36" spans="1:6" ht="31.5">
      <c r="A36" s="400">
        <v>1</v>
      </c>
      <c r="B36" s="358" t="s">
        <v>582</v>
      </c>
      <c r="C36" s="366" t="s">
        <v>530</v>
      </c>
      <c r="D36" s="259">
        <v>2.93</v>
      </c>
      <c r="E36" s="266"/>
      <c r="F36" s="360"/>
    </row>
    <row r="37" spans="1:6" ht="63">
      <c r="A37" s="359">
        <v>2</v>
      </c>
      <c r="B37" s="358" t="s">
        <v>583</v>
      </c>
      <c r="C37" s="359" t="s">
        <v>554</v>
      </c>
      <c r="D37" s="263">
        <v>211.05</v>
      </c>
      <c r="E37" s="274"/>
      <c r="F37" s="360"/>
    </row>
    <row r="38" spans="1:6" ht="47.25">
      <c r="A38" s="359" t="s">
        <v>545</v>
      </c>
      <c r="B38" s="358" t="s">
        <v>584</v>
      </c>
      <c r="C38" s="362" t="s">
        <v>530</v>
      </c>
      <c r="D38" s="363">
        <f>D37*0.025</f>
        <v>5.276250000000001</v>
      </c>
      <c r="E38" s="274"/>
      <c r="F38" s="360"/>
    </row>
    <row r="39" spans="1:6" ht="15.75">
      <c r="A39" s="400">
        <v>3</v>
      </c>
      <c r="B39" s="358" t="s">
        <v>585</v>
      </c>
      <c r="C39" s="366" t="s">
        <v>586</v>
      </c>
      <c r="D39" s="259">
        <f>D37</f>
        <v>211.05</v>
      </c>
      <c r="E39" s="266"/>
      <c r="F39" s="360"/>
    </row>
    <row r="40" spans="1:6" ht="31.5">
      <c r="A40" s="400">
        <v>4</v>
      </c>
      <c r="B40" s="358" t="s">
        <v>870</v>
      </c>
      <c r="C40" s="366" t="s">
        <v>554</v>
      </c>
      <c r="D40" s="259">
        <v>120.1</v>
      </c>
      <c r="E40" s="266"/>
      <c r="F40" s="360"/>
    </row>
    <row r="41" spans="1:6" ht="15.75">
      <c r="A41" s="400">
        <v>5</v>
      </c>
      <c r="B41" s="358" t="s">
        <v>588</v>
      </c>
      <c r="C41" s="366" t="s">
        <v>586</v>
      </c>
      <c r="D41" s="259">
        <v>125.22</v>
      </c>
      <c r="E41" s="266"/>
      <c r="F41" s="360"/>
    </row>
    <row r="42" spans="1:6" ht="63">
      <c r="A42" s="359">
        <v>6</v>
      </c>
      <c r="B42" s="358" t="s">
        <v>1014</v>
      </c>
      <c r="C42" s="359" t="s">
        <v>554</v>
      </c>
      <c r="D42" s="263">
        <v>116.82</v>
      </c>
      <c r="E42" s="274"/>
      <c r="F42" s="360"/>
    </row>
    <row r="43" spans="1:6" ht="47.25">
      <c r="A43" s="359" t="s">
        <v>556</v>
      </c>
      <c r="B43" s="358" t="s">
        <v>584</v>
      </c>
      <c r="C43" s="362" t="s">
        <v>530</v>
      </c>
      <c r="D43" s="363">
        <f>D42*0.025</f>
        <v>2.9205000000000001</v>
      </c>
      <c r="E43" s="274"/>
      <c r="F43" s="360"/>
    </row>
    <row r="44" spans="1:6" ht="31.5">
      <c r="A44" s="359">
        <v>7</v>
      </c>
      <c r="B44" s="358" t="s">
        <v>590</v>
      </c>
      <c r="C44" s="359" t="s">
        <v>554</v>
      </c>
      <c r="D44" s="263">
        <v>8.4</v>
      </c>
      <c r="E44" s="274"/>
      <c r="F44" s="360"/>
    </row>
    <row r="45" spans="1:6" ht="16.5">
      <c r="A45" s="441"/>
      <c r="B45" s="442" t="s">
        <v>593</v>
      </c>
      <c r="C45" s="441"/>
      <c r="D45" s="253"/>
      <c r="E45" s="253"/>
      <c r="F45" s="360"/>
    </row>
    <row r="46" spans="1:6" ht="31.5">
      <c r="A46" s="400">
        <v>1</v>
      </c>
      <c r="B46" s="358" t="s">
        <v>872</v>
      </c>
      <c r="C46" s="366" t="s">
        <v>586</v>
      </c>
      <c r="D46" s="278">
        <f>D47*2+D50*2</f>
        <v>298.2</v>
      </c>
      <c r="E46" s="266"/>
      <c r="F46" s="360"/>
    </row>
    <row r="47" spans="1:6" ht="63">
      <c r="A47" s="400">
        <v>2</v>
      </c>
      <c r="B47" s="358" t="s">
        <v>960</v>
      </c>
      <c r="C47" s="366" t="s">
        <v>554</v>
      </c>
      <c r="D47" s="259">
        <v>127.65</v>
      </c>
      <c r="E47" s="266"/>
      <c r="F47" s="360"/>
    </row>
    <row r="48" spans="1:6" ht="31.5">
      <c r="A48" s="359" t="s">
        <v>545</v>
      </c>
      <c r="B48" s="358" t="s">
        <v>1059</v>
      </c>
      <c r="C48" s="359" t="s">
        <v>530</v>
      </c>
      <c r="D48" s="567">
        <v>1.67</v>
      </c>
      <c r="E48" s="274"/>
      <c r="F48" s="360"/>
    </row>
    <row r="49" spans="1:6" ht="63">
      <c r="A49" s="400">
        <v>3</v>
      </c>
      <c r="B49" s="358" t="s">
        <v>873</v>
      </c>
      <c r="C49" s="366" t="s">
        <v>554</v>
      </c>
      <c r="D49" s="278">
        <v>8</v>
      </c>
      <c r="E49" s="266"/>
      <c r="F49" s="360"/>
    </row>
    <row r="50" spans="1:6" ht="63">
      <c r="A50" s="400">
        <v>4</v>
      </c>
      <c r="B50" s="358" t="s">
        <v>601</v>
      </c>
      <c r="C50" s="366" t="s">
        <v>554</v>
      </c>
      <c r="D50" s="259">
        <v>21.45</v>
      </c>
      <c r="E50" s="266"/>
      <c r="F50" s="360"/>
    </row>
    <row r="51" spans="1:6" ht="31.5">
      <c r="A51" s="359" t="s">
        <v>550</v>
      </c>
      <c r="B51" s="358" t="s">
        <v>1016</v>
      </c>
      <c r="C51" s="359" t="s">
        <v>530</v>
      </c>
      <c r="D51" s="567">
        <v>0.28000000000000003</v>
      </c>
      <c r="E51" s="274"/>
      <c r="F51" s="360"/>
    </row>
    <row r="52" spans="1:6" ht="63">
      <c r="A52" s="359">
        <v>5</v>
      </c>
      <c r="B52" s="358" t="s">
        <v>603</v>
      </c>
      <c r="C52" s="359" t="s">
        <v>554</v>
      </c>
      <c r="D52" s="263">
        <f>D50</f>
        <v>21.45</v>
      </c>
      <c r="E52" s="274"/>
      <c r="F52" s="360"/>
    </row>
    <row r="53" spans="1:6" ht="15.75">
      <c r="A53" s="454"/>
      <c r="B53" s="455" t="s">
        <v>604</v>
      </c>
      <c r="C53" s="454"/>
      <c r="D53" s="456"/>
      <c r="E53" s="292"/>
      <c r="F53" s="360"/>
    </row>
    <row r="54" spans="1:6" ht="15.75">
      <c r="A54" s="359">
        <v>1</v>
      </c>
      <c r="B54" s="358" t="s">
        <v>874</v>
      </c>
      <c r="C54" s="359" t="s">
        <v>554</v>
      </c>
      <c r="D54" s="263">
        <v>24.27</v>
      </c>
      <c r="E54" s="274"/>
      <c r="F54" s="360"/>
    </row>
    <row r="55" spans="1:6" ht="15.75">
      <c r="A55" s="359">
        <v>2</v>
      </c>
      <c r="B55" s="358" t="s">
        <v>875</v>
      </c>
      <c r="C55" s="359" t="s">
        <v>554</v>
      </c>
      <c r="D55" s="263">
        <v>4.9400000000000004</v>
      </c>
      <c r="E55" s="274"/>
      <c r="F55" s="360"/>
    </row>
    <row r="56" spans="1:6" ht="15.75">
      <c r="A56" s="362">
        <v>3</v>
      </c>
      <c r="B56" s="358" t="s">
        <v>962</v>
      </c>
      <c r="C56" s="359" t="s">
        <v>554</v>
      </c>
      <c r="D56" s="263">
        <v>30.5</v>
      </c>
      <c r="E56" s="274"/>
      <c r="F56" s="360"/>
    </row>
    <row r="57" spans="1:6" ht="47.25">
      <c r="A57" s="359">
        <v>4</v>
      </c>
      <c r="B57" s="358" t="s">
        <v>876</v>
      </c>
      <c r="C57" s="359" t="s">
        <v>554</v>
      </c>
      <c r="D57" s="283">
        <f>2.34+1</f>
        <v>3.34</v>
      </c>
      <c r="E57" s="274"/>
      <c r="F57" s="360"/>
    </row>
    <row r="58" spans="1:6" ht="47.25">
      <c r="A58" s="359">
        <v>5</v>
      </c>
      <c r="B58" s="358" t="s">
        <v>877</v>
      </c>
      <c r="C58" s="359" t="s">
        <v>554</v>
      </c>
      <c r="D58" s="283">
        <f>12.76+3.96</f>
        <v>16.72</v>
      </c>
      <c r="E58" s="274"/>
      <c r="F58" s="360"/>
    </row>
    <row r="59" spans="1:6" ht="31.5">
      <c r="A59" s="400">
        <v>6</v>
      </c>
      <c r="B59" s="358" t="s">
        <v>612</v>
      </c>
      <c r="C59" s="366" t="s">
        <v>554</v>
      </c>
      <c r="D59" s="278">
        <v>8.15</v>
      </c>
      <c r="E59" s="266"/>
      <c r="F59" s="360"/>
    </row>
    <row r="60" spans="1:6" ht="15.75">
      <c r="A60" s="454"/>
      <c r="B60" s="442" t="s">
        <v>613</v>
      </c>
      <c r="C60" s="454"/>
      <c r="D60" s="457"/>
      <c r="E60" s="292"/>
      <c r="F60" s="360"/>
    </row>
    <row r="61" spans="1:6" ht="15.75">
      <c r="A61" s="400">
        <v>1</v>
      </c>
      <c r="B61" s="458" t="s">
        <v>614</v>
      </c>
      <c r="C61" s="400" t="s">
        <v>554</v>
      </c>
      <c r="D61" s="278">
        <v>326</v>
      </c>
      <c r="E61" s="306"/>
      <c r="F61" s="360"/>
    </row>
    <row r="62" spans="1:6" ht="31.5">
      <c r="A62" s="366">
        <v>2</v>
      </c>
      <c r="B62" s="358" t="s">
        <v>615</v>
      </c>
      <c r="C62" s="366" t="s">
        <v>530</v>
      </c>
      <c r="D62" s="449">
        <f>184.6*0.1</f>
        <v>18.46</v>
      </c>
      <c r="E62" s="266"/>
      <c r="F62" s="360"/>
    </row>
    <row r="63" spans="1:6" ht="31.5">
      <c r="A63" s="362">
        <v>3</v>
      </c>
      <c r="B63" s="358" t="s">
        <v>623</v>
      </c>
      <c r="C63" s="359" t="s">
        <v>554</v>
      </c>
      <c r="D63" s="263">
        <v>222</v>
      </c>
      <c r="E63" s="274"/>
      <c r="F63" s="360"/>
    </row>
    <row r="64" spans="1:6" ht="31.5">
      <c r="A64" s="459">
        <v>4</v>
      </c>
      <c r="B64" s="460" t="s">
        <v>617</v>
      </c>
      <c r="C64" s="459" t="s">
        <v>554</v>
      </c>
      <c r="D64" s="287">
        <v>7.23</v>
      </c>
      <c r="E64" s="288"/>
      <c r="F64" s="360"/>
    </row>
    <row r="65" spans="1:6" ht="47.25">
      <c r="A65" s="362">
        <v>5</v>
      </c>
      <c r="B65" s="458" t="s">
        <v>618</v>
      </c>
      <c r="C65" s="359" t="s">
        <v>554</v>
      </c>
      <c r="D65" s="263">
        <v>197.5</v>
      </c>
      <c r="E65" s="274"/>
      <c r="F65" s="360"/>
    </row>
    <row r="66" spans="1:6" ht="15.75">
      <c r="A66" s="454"/>
      <c r="B66" s="442" t="s">
        <v>620</v>
      </c>
      <c r="C66" s="454"/>
      <c r="D66" s="457"/>
      <c r="E66" s="292"/>
      <c r="F66" s="360"/>
    </row>
    <row r="67" spans="1:6" ht="15.75">
      <c r="A67" s="400">
        <v>1</v>
      </c>
      <c r="B67" s="358" t="s">
        <v>621</v>
      </c>
      <c r="C67" s="366" t="s">
        <v>554</v>
      </c>
      <c r="D67" s="278">
        <v>208.4</v>
      </c>
      <c r="E67" s="266"/>
      <c r="F67" s="360"/>
    </row>
    <row r="68" spans="1:6" ht="15.75">
      <c r="A68" s="400">
        <v>2</v>
      </c>
      <c r="B68" s="358" t="s">
        <v>585</v>
      </c>
      <c r="C68" s="366" t="s">
        <v>554</v>
      </c>
      <c r="D68" s="278">
        <f>D67</f>
        <v>208.4</v>
      </c>
      <c r="E68" s="266"/>
      <c r="F68" s="360"/>
    </row>
    <row r="69" spans="1:6" ht="31.5">
      <c r="A69" s="400">
        <v>3</v>
      </c>
      <c r="B69" s="358" t="s">
        <v>623</v>
      </c>
      <c r="C69" s="366" t="s">
        <v>554</v>
      </c>
      <c r="D69" s="278">
        <v>227.8</v>
      </c>
      <c r="E69" s="266"/>
      <c r="F69" s="360"/>
    </row>
    <row r="70" spans="1:6" ht="15.75">
      <c r="A70" s="366">
        <v>3</v>
      </c>
      <c r="B70" s="358" t="s">
        <v>622</v>
      </c>
      <c r="C70" s="366" t="s">
        <v>554</v>
      </c>
      <c r="D70" s="259">
        <f>D67</f>
        <v>208.4</v>
      </c>
      <c r="E70" s="266"/>
      <c r="F70" s="360"/>
    </row>
    <row r="71" spans="1:6" ht="15.75">
      <c r="A71" s="400">
        <v>4</v>
      </c>
      <c r="B71" s="358" t="s">
        <v>624</v>
      </c>
      <c r="C71" s="461" t="s">
        <v>554</v>
      </c>
      <c r="D71" s="259">
        <f>D70</f>
        <v>208.4</v>
      </c>
      <c r="E71" s="266"/>
      <c r="F71" s="360"/>
    </row>
    <row r="72" spans="1:6" ht="15.75">
      <c r="A72" s="400">
        <v>5</v>
      </c>
      <c r="B72" s="458" t="s">
        <v>625</v>
      </c>
      <c r="C72" s="400" t="s">
        <v>554</v>
      </c>
      <c r="D72" s="278">
        <f>D70</f>
        <v>208.4</v>
      </c>
      <c r="E72" s="306"/>
      <c r="F72" s="360"/>
    </row>
    <row r="73" spans="1:6" ht="15.75">
      <c r="A73" s="400">
        <v>6</v>
      </c>
      <c r="B73" s="458" t="s">
        <v>626</v>
      </c>
      <c r="C73" s="400" t="s">
        <v>554</v>
      </c>
      <c r="D73" s="278">
        <f>D70</f>
        <v>208.4</v>
      </c>
      <c r="E73" s="306"/>
      <c r="F73" s="360"/>
    </row>
    <row r="74" spans="1:6" ht="15.75">
      <c r="A74" s="281">
        <v>7</v>
      </c>
      <c r="B74" s="452" t="s">
        <v>627</v>
      </c>
      <c r="C74" s="281" t="s">
        <v>530</v>
      </c>
      <c r="D74" s="268">
        <f>D70*0.05</f>
        <v>10.420000000000002</v>
      </c>
      <c r="E74" s="270"/>
      <c r="F74" s="360"/>
    </row>
    <row r="75" spans="1:6" ht="15.75">
      <c r="A75" s="400">
        <v>8</v>
      </c>
      <c r="B75" s="358" t="s">
        <v>628</v>
      </c>
      <c r="C75" s="366" t="s">
        <v>554</v>
      </c>
      <c r="D75" s="259">
        <v>208.4</v>
      </c>
      <c r="E75" s="266"/>
      <c r="F75" s="360"/>
    </row>
    <row r="76" spans="1:6" ht="15.75">
      <c r="A76" s="454"/>
      <c r="B76" s="442" t="s">
        <v>629</v>
      </c>
      <c r="C76" s="454"/>
      <c r="D76" s="457"/>
      <c r="E76" s="292"/>
      <c r="F76" s="360"/>
    </row>
    <row r="77" spans="1:6" ht="31.5">
      <c r="A77" s="362">
        <v>1</v>
      </c>
      <c r="B77" s="458" t="s">
        <v>632</v>
      </c>
      <c r="C77" s="362" t="s">
        <v>554</v>
      </c>
      <c r="D77" s="283">
        <v>43.95</v>
      </c>
      <c r="E77" s="283"/>
      <c r="F77" s="360"/>
    </row>
    <row r="78" spans="1:6" ht="31.5">
      <c r="A78" s="400">
        <v>2</v>
      </c>
      <c r="B78" s="358" t="s">
        <v>634</v>
      </c>
      <c r="C78" s="366" t="s">
        <v>554</v>
      </c>
      <c r="D78" s="259">
        <v>193.75</v>
      </c>
      <c r="E78" s="266"/>
      <c r="F78" s="360"/>
    </row>
    <row r="79" spans="1:6" ht="31.5">
      <c r="A79" s="459">
        <v>3</v>
      </c>
      <c r="B79" s="460" t="s">
        <v>635</v>
      </c>
      <c r="C79" s="459" t="s">
        <v>586</v>
      </c>
      <c r="D79" s="287">
        <v>7.25</v>
      </c>
      <c r="E79" s="288"/>
      <c r="F79" s="360"/>
    </row>
    <row r="80" spans="1:6" ht="31.5">
      <c r="A80" s="359">
        <v>4</v>
      </c>
      <c r="B80" s="358" t="s">
        <v>636</v>
      </c>
      <c r="C80" s="359" t="s">
        <v>554</v>
      </c>
      <c r="D80" s="283">
        <f>D79</f>
        <v>7.25</v>
      </c>
      <c r="E80" s="304"/>
      <c r="F80" s="360"/>
    </row>
    <row r="81" spans="1:6" ht="47.25">
      <c r="A81" s="359">
        <v>5</v>
      </c>
      <c r="B81" s="358" t="s">
        <v>637</v>
      </c>
      <c r="C81" s="359" t="s">
        <v>554</v>
      </c>
      <c r="D81" s="263">
        <v>186.5</v>
      </c>
      <c r="E81" s="274"/>
      <c r="F81" s="360"/>
    </row>
    <row r="82" spans="1:6" ht="16.5">
      <c r="A82" s="470"/>
      <c r="B82" s="471" t="s">
        <v>407</v>
      </c>
      <c r="C82" s="472"/>
      <c r="D82" s="470"/>
      <c r="E82" s="470"/>
      <c r="F82" s="372">
        <f>SUM(F10:F81)</f>
        <v>0</v>
      </c>
    </row>
    <row r="83" spans="1:6" ht="54">
      <c r="A83" s="465"/>
      <c r="B83" s="466" t="s">
        <v>1060</v>
      </c>
      <c r="C83" s="467" t="s">
        <v>648</v>
      </c>
      <c r="D83" s="569">
        <f>3607/60</f>
        <v>60.116666666666667</v>
      </c>
      <c r="E83" s="469"/>
      <c r="F83" s="360"/>
    </row>
    <row r="84" spans="1:6" ht="16.5">
      <c r="A84" s="470"/>
      <c r="B84" s="471" t="s">
        <v>398</v>
      </c>
      <c r="C84" s="472"/>
      <c r="D84" s="470"/>
      <c r="E84" s="470"/>
      <c r="F84" s="372">
        <f>F82+F83</f>
        <v>0</v>
      </c>
    </row>
    <row r="87" spans="1:6" ht="36" customHeight="1">
      <c r="A87" s="474"/>
      <c r="B87" s="327" t="s">
        <v>649</v>
      </c>
      <c r="C87" s="327"/>
      <c r="D87" s="327"/>
      <c r="E87" s="327"/>
      <c r="F87" s="327"/>
    </row>
  </sheetData>
  <mergeCells count="12">
    <mergeCell ref="F6:F7"/>
    <mergeCell ref="B87:F87"/>
    <mergeCell ref="A1:F1"/>
    <mergeCell ref="A2:F2"/>
    <mergeCell ref="A3:F3"/>
    <mergeCell ref="A4:F4"/>
    <mergeCell ref="A5:F5"/>
    <mergeCell ref="A6:A7"/>
    <mergeCell ref="B6:B7"/>
    <mergeCell ref="C6:C7"/>
    <mergeCell ref="D6:D7"/>
    <mergeCell ref="E6:E7"/>
  </mergeCells>
  <pageMargins left="0.7" right="0.7" top="0.75" bottom="0.75" header="0.3" footer="0.3"/>
  <pageSetup paperSize="9"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2"/>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6" width="8.140625" style="409" customWidth="1"/>
    <col min="7" max="16384" width="9.140625" style="344"/>
  </cols>
  <sheetData>
    <row r="1" spans="1:7" s="199" customFormat="1" ht="32.25" customHeight="1">
      <c r="A1" s="231" t="str">
        <f>'N5-1'!A1:F1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1061</v>
      </c>
      <c r="B3" s="330"/>
      <c r="C3" s="330"/>
      <c r="D3" s="330"/>
      <c r="E3" s="330"/>
      <c r="F3" s="330"/>
    </row>
    <row r="4" spans="1:7" s="335" customFormat="1" ht="20.25" customHeight="1">
      <c r="A4" s="377" t="s">
        <v>1062</v>
      </c>
      <c r="B4" s="377"/>
      <c r="C4" s="377"/>
      <c r="D4" s="377"/>
      <c r="E4" s="377"/>
      <c r="F4" s="377"/>
      <c r="G4" s="378"/>
    </row>
    <row r="5" spans="1:7" s="199" customFormat="1" ht="19.5" customHeight="1" thickBot="1">
      <c r="A5" s="379" t="s">
        <v>522</v>
      </c>
      <c r="B5" s="379"/>
      <c r="C5" s="379"/>
      <c r="D5" s="379"/>
      <c r="E5" s="379"/>
      <c r="F5" s="379"/>
      <c r="G5" s="380"/>
    </row>
    <row r="6" spans="1:7" ht="87.6" customHeight="1" thickBot="1">
      <c r="A6" s="381" t="s">
        <v>523</v>
      </c>
      <c r="B6" s="382" t="s">
        <v>524</v>
      </c>
      <c r="C6" s="383" t="s">
        <v>525</v>
      </c>
      <c r="D6" s="384" t="s">
        <v>411</v>
      </c>
      <c r="E6" s="385" t="s">
        <v>526</v>
      </c>
      <c r="F6" s="386" t="s">
        <v>527</v>
      </c>
    </row>
    <row r="7" spans="1:7" ht="16.5" thickBot="1">
      <c r="A7" s="387">
        <v>1</v>
      </c>
      <c r="B7" s="388">
        <v>2</v>
      </c>
      <c r="C7" s="389">
        <v>3</v>
      </c>
      <c r="D7" s="390" t="s">
        <v>488</v>
      </c>
      <c r="E7" s="391" t="s">
        <v>513</v>
      </c>
      <c r="F7" s="392" t="s">
        <v>515</v>
      </c>
    </row>
    <row r="8" spans="1:7" s="397" customFormat="1" ht="51" customHeight="1">
      <c r="A8" s="359">
        <v>1</v>
      </c>
      <c r="B8" s="358" t="s">
        <v>654</v>
      </c>
      <c r="C8" s="359" t="s">
        <v>554</v>
      </c>
      <c r="D8" s="263">
        <v>23.35</v>
      </c>
      <c r="E8" s="274"/>
      <c r="F8" s="360"/>
    </row>
    <row r="9" spans="1:7" s="397" customFormat="1" ht="15.75" customHeight="1">
      <c r="A9" s="359" t="s">
        <v>535</v>
      </c>
      <c r="B9" s="358" t="s">
        <v>655</v>
      </c>
      <c r="C9" s="362" t="s">
        <v>530</v>
      </c>
      <c r="D9" s="363">
        <f>D8*0.03</f>
        <v>0.70050000000000001</v>
      </c>
      <c r="E9" s="274"/>
      <c r="F9" s="360"/>
    </row>
    <row r="10" spans="1:7" s="397" customFormat="1" ht="51.75" customHeight="1">
      <c r="A10" s="359">
        <v>2</v>
      </c>
      <c r="B10" s="358" t="s">
        <v>885</v>
      </c>
      <c r="C10" s="359" t="s">
        <v>554</v>
      </c>
      <c r="D10" s="263">
        <v>22.85</v>
      </c>
      <c r="E10" s="274"/>
      <c r="F10" s="360"/>
    </row>
    <row r="11" spans="1:7" s="398" customFormat="1" ht="31.5">
      <c r="A11" s="359" t="s">
        <v>545</v>
      </c>
      <c r="B11" s="358" t="s">
        <v>655</v>
      </c>
      <c r="C11" s="362" t="s">
        <v>530</v>
      </c>
      <c r="D11" s="363">
        <f>D10*0.03</f>
        <v>0.6855</v>
      </c>
      <c r="E11" s="274"/>
      <c r="F11" s="360"/>
    </row>
    <row r="12" spans="1:7" s="397" customFormat="1" ht="54" customHeight="1">
      <c r="A12" s="359">
        <v>3</v>
      </c>
      <c r="B12" s="358" t="s">
        <v>658</v>
      </c>
      <c r="C12" s="359" t="s">
        <v>554</v>
      </c>
      <c r="D12" s="283">
        <v>1.6</v>
      </c>
      <c r="E12" s="274"/>
      <c r="F12" s="360"/>
    </row>
    <row r="13" spans="1:7" s="398" customFormat="1" ht="52.5" customHeight="1">
      <c r="A13" s="366">
        <v>4</v>
      </c>
      <c r="B13" s="358" t="s">
        <v>659</v>
      </c>
      <c r="C13" s="366" t="s">
        <v>530</v>
      </c>
      <c r="D13" s="278">
        <v>0.45</v>
      </c>
      <c r="E13" s="266"/>
      <c r="F13" s="360"/>
    </row>
    <row r="14" spans="1:7" s="398" customFormat="1" ht="44.25" customHeight="1">
      <c r="A14" s="400">
        <v>5</v>
      </c>
      <c r="B14" s="358" t="s">
        <v>660</v>
      </c>
      <c r="C14" s="366" t="s">
        <v>554</v>
      </c>
      <c r="D14" s="259">
        <v>18.600000000000001</v>
      </c>
      <c r="E14" s="266"/>
      <c r="F14" s="360"/>
    </row>
    <row r="15" spans="1:7" s="398" customFormat="1" ht="35.25" customHeight="1">
      <c r="A15" s="400">
        <v>6</v>
      </c>
      <c r="B15" s="358" t="s">
        <v>661</v>
      </c>
      <c r="C15" s="366" t="s">
        <v>554</v>
      </c>
      <c r="D15" s="259">
        <f>D14</f>
        <v>18.600000000000001</v>
      </c>
      <c r="E15" s="266"/>
      <c r="F15" s="360"/>
    </row>
    <row r="16" spans="1:7" s="398" customFormat="1" ht="20.25" customHeight="1">
      <c r="A16" s="362">
        <v>7</v>
      </c>
      <c r="B16" s="358" t="s">
        <v>662</v>
      </c>
      <c r="C16" s="359" t="s">
        <v>554</v>
      </c>
      <c r="D16" s="263">
        <f>D14</f>
        <v>18.600000000000001</v>
      </c>
      <c r="E16" s="274"/>
      <c r="F16" s="360"/>
    </row>
    <row r="17" spans="1:6" s="398" customFormat="1" ht="20.25" customHeight="1">
      <c r="A17" s="404"/>
      <c r="B17" s="404" t="s">
        <v>407</v>
      </c>
      <c r="C17" s="404"/>
      <c r="D17" s="405"/>
      <c r="E17" s="406"/>
      <c r="F17" s="407">
        <f>SUM(F8:F16)</f>
        <v>0</v>
      </c>
    </row>
    <row r="19" spans="1:6">
      <c r="F19" s="587"/>
    </row>
    <row r="20" spans="1:6">
      <c r="F20" s="588"/>
    </row>
    <row r="21" spans="1:6">
      <c r="F21" s="589"/>
    </row>
    <row r="22" spans="1:6">
      <c r="F22" s="588"/>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1"/>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7" s="199" customFormat="1" ht="32.25" customHeight="1">
      <c r="A1" s="231" t="str">
        <f>'N5-2'!A1:F1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1049</v>
      </c>
      <c r="B3" s="330"/>
      <c r="C3" s="330"/>
      <c r="D3" s="330"/>
      <c r="E3" s="330"/>
      <c r="F3" s="330"/>
    </row>
    <row r="4" spans="1:7" s="335" customFormat="1" ht="20.25" customHeight="1">
      <c r="A4" s="377" t="s">
        <v>1063</v>
      </c>
      <c r="B4" s="377"/>
      <c r="C4" s="377"/>
      <c r="D4" s="377"/>
      <c r="E4" s="377"/>
      <c r="F4" s="377"/>
      <c r="G4" s="378"/>
    </row>
    <row r="5" spans="1:7" s="199" customFormat="1" ht="19.5" customHeight="1" thickBot="1">
      <c r="A5" s="379" t="s">
        <v>511</v>
      </c>
      <c r="B5" s="379"/>
      <c r="C5" s="379"/>
      <c r="D5" s="379"/>
      <c r="E5" s="379"/>
      <c r="F5" s="379"/>
      <c r="G5" s="380"/>
    </row>
    <row r="6" spans="1:7" ht="87.6" customHeight="1" thickBot="1">
      <c r="A6" s="381" t="s">
        <v>523</v>
      </c>
      <c r="B6" s="382" t="s">
        <v>524</v>
      </c>
      <c r="C6" s="383" t="s">
        <v>525</v>
      </c>
      <c r="D6" s="384" t="s">
        <v>411</v>
      </c>
      <c r="E6" s="385" t="s">
        <v>526</v>
      </c>
      <c r="F6" s="386" t="s">
        <v>527</v>
      </c>
    </row>
    <row r="7" spans="1:7" ht="16.5" thickBot="1">
      <c r="A7" s="387">
        <v>1</v>
      </c>
      <c r="B7" s="388">
        <v>2</v>
      </c>
      <c r="C7" s="389">
        <v>3</v>
      </c>
      <c r="D7" s="390" t="s">
        <v>488</v>
      </c>
      <c r="E7" s="391" t="s">
        <v>513</v>
      </c>
      <c r="F7" s="392" t="s">
        <v>515</v>
      </c>
    </row>
    <row r="8" spans="1:7" s="397" customFormat="1" ht="120.75" customHeight="1">
      <c r="A8" s="359" t="s">
        <v>535</v>
      </c>
      <c r="B8" s="394" t="s">
        <v>1064</v>
      </c>
      <c r="C8" s="393" t="s">
        <v>667</v>
      </c>
      <c r="D8" s="395">
        <v>1</v>
      </c>
      <c r="E8" s="396"/>
      <c r="F8" s="396"/>
    </row>
    <row r="9" spans="1:7" s="397" customFormat="1" ht="53.25" customHeight="1">
      <c r="A9" s="359">
        <v>2</v>
      </c>
      <c r="B9" s="394" t="s">
        <v>1025</v>
      </c>
      <c r="C9" s="393" t="s">
        <v>669</v>
      </c>
      <c r="D9" s="395">
        <v>1</v>
      </c>
      <c r="E9" s="396"/>
      <c r="F9" s="396"/>
    </row>
    <row r="10" spans="1:7" s="398" customFormat="1" ht="76.5">
      <c r="A10" s="359" t="s">
        <v>545</v>
      </c>
      <c r="B10" s="394" t="s">
        <v>1065</v>
      </c>
      <c r="C10" s="393" t="s">
        <v>667</v>
      </c>
      <c r="D10" s="395">
        <v>1</v>
      </c>
      <c r="E10" s="396"/>
      <c r="F10" s="396"/>
    </row>
    <row r="11" spans="1:7" s="397" customFormat="1" ht="30.75" customHeight="1">
      <c r="A11" s="359">
        <v>3</v>
      </c>
      <c r="B11" s="394" t="s">
        <v>1066</v>
      </c>
      <c r="C11" s="393" t="s">
        <v>669</v>
      </c>
      <c r="D11" s="395">
        <v>1</v>
      </c>
      <c r="E11" s="396"/>
      <c r="F11" s="396"/>
    </row>
    <row r="12" spans="1:7" s="398" customFormat="1" ht="52.5" customHeight="1">
      <c r="A12" s="366">
        <v>4</v>
      </c>
      <c r="B12" s="394" t="s">
        <v>888</v>
      </c>
      <c r="C12" s="393" t="s">
        <v>669</v>
      </c>
      <c r="D12" s="395">
        <v>1</v>
      </c>
      <c r="E12" s="396"/>
      <c r="F12" s="396"/>
    </row>
    <row r="13" spans="1:7" s="398" customFormat="1" ht="22.5" customHeight="1">
      <c r="A13" s="400">
        <v>5</v>
      </c>
      <c r="B13" s="394" t="s">
        <v>673</v>
      </c>
      <c r="C13" s="393" t="s">
        <v>674</v>
      </c>
      <c r="D13" s="395">
        <v>3</v>
      </c>
      <c r="E13" s="396"/>
      <c r="F13" s="396"/>
    </row>
    <row r="14" spans="1:7" s="398" customFormat="1" ht="22.5" customHeight="1">
      <c r="A14" s="400">
        <v>6</v>
      </c>
      <c r="B14" s="394" t="s">
        <v>676</v>
      </c>
      <c r="C14" s="393" t="s">
        <v>667</v>
      </c>
      <c r="D14" s="395">
        <v>2</v>
      </c>
      <c r="E14" s="396"/>
      <c r="F14" s="396"/>
      <c r="G14" s="399"/>
    </row>
    <row r="15" spans="1:7" s="398" customFormat="1" ht="22.5" customHeight="1">
      <c r="A15" s="400">
        <v>7</v>
      </c>
      <c r="B15" s="401" t="s">
        <v>1067</v>
      </c>
      <c r="C15" s="393" t="s">
        <v>667</v>
      </c>
      <c r="D15" s="402">
        <v>1</v>
      </c>
      <c r="E15" s="403"/>
      <c r="F15" s="396"/>
    </row>
    <row r="16" spans="1:7" s="398" customFormat="1" ht="20.25" customHeight="1">
      <c r="A16" s="404"/>
      <c r="B16" s="404" t="s">
        <v>407</v>
      </c>
      <c r="C16" s="404"/>
      <c r="D16" s="405"/>
      <c r="E16" s="406"/>
      <c r="F16" s="407">
        <f>SUM(F8:F14)</f>
        <v>0</v>
      </c>
    </row>
    <row r="18" spans="6:6">
      <c r="F18" s="587"/>
    </row>
    <row r="19" spans="6:6">
      <c r="F19" s="590"/>
    </row>
    <row r="20" spans="6:6">
      <c r="F20" s="589"/>
    </row>
    <row r="21" spans="6:6">
      <c r="F21" s="588"/>
    </row>
  </sheetData>
  <protectedRanges>
    <protectedRange sqref="B8:D8 B10:D10" name="Диапазон1_1_1"/>
  </protectedRanges>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5"/>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7" s="199" customFormat="1" ht="32.25" customHeight="1">
      <c r="A1" s="231" t="str">
        <f>'N5-3'!A1:F1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1049</v>
      </c>
      <c r="B3" s="330"/>
      <c r="C3" s="330"/>
      <c r="D3" s="330"/>
      <c r="E3" s="330"/>
      <c r="F3" s="330"/>
    </row>
    <row r="4" spans="1:7" s="335" customFormat="1" ht="20.25" customHeight="1">
      <c r="A4" s="377" t="s">
        <v>1068</v>
      </c>
      <c r="B4" s="377"/>
      <c r="C4" s="377"/>
      <c r="D4" s="377"/>
      <c r="E4" s="377"/>
      <c r="F4" s="377"/>
      <c r="G4" s="378"/>
    </row>
    <row r="5" spans="1:7" s="199" customFormat="1" ht="19.5" customHeight="1" thickBot="1">
      <c r="A5" s="379" t="s">
        <v>512</v>
      </c>
      <c r="B5" s="379"/>
      <c r="C5" s="379"/>
      <c r="D5" s="379"/>
      <c r="E5" s="379"/>
      <c r="F5" s="379"/>
      <c r="G5" s="380"/>
    </row>
    <row r="6" spans="1:7" ht="87.6" customHeight="1" thickBot="1">
      <c r="A6" s="381" t="s">
        <v>523</v>
      </c>
      <c r="B6" s="382" t="s">
        <v>524</v>
      </c>
      <c r="C6" s="383" t="s">
        <v>525</v>
      </c>
      <c r="D6" s="384" t="s">
        <v>411</v>
      </c>
      <c r="E6" s="385" t="s">
        <v>526</v>
      </c>
      <c r="F6" s="386" t="s">
        <v>527</v>
      </c>
    </row>
    <row r="7" spans="1:7" ht="16.5" thickBot="1">
      <c r="A7" s="387">
        <v>1</v>
      </c>
      <c r="B7" s="388">
        <v>2</v>
      </c>
      <c r="C7" s="389">
        <v>3</v>
      </c>
      <c r="D7" s="390" t="s">
        <v>488</v>
      </c>
      <c r="E7" s="391" t="s">
        <v>513</v>
      </c>
      <c r="F7" s="392" t="s">
        <v>515</v>
      </c>
    </row>
    <row r="8" spans="1:7" s="397" customFormat="1" ht="73.5" customHeight="1">
      <c r="A8" s="393" t="s">
        <v>5</v>
      </c>
      <c r="B8" s="394" t="s">
        <v>1069</v>
      </c>
      <c r="C8" s="393" t="s">
        <v>674</v>
      </c>
      <c r="D8" s="395">
        <v>1</v>
      </c>
      <c r="E8" s="396"/>
      <c r="F8" s="396"/>
    </row>
    <row r="9" spans="1:7" s="397" customFormat="1" ht="53.25" customHeight="1">
      <c r="A9" s="393" t="s">
        <v>7</v>
      </c>
      <c r="B9" s="394" t="s">
        <v>680</v>
      </c>
      <c r="C9" s="393" t="s">
        <v>674</v>
      </c>
      <c r="D9" s="395">
        <v>1</v>
      </c>
      <c r="E9" s="396"/>
      <c r="F9" s="396"/>
    </row>
    <row r="10" spans="1:7" s="398" customFormat="1" ht="25.5">
      <c r="A10" s="393" t="s">
        <v>487</v>
      </c>
      <c r="B10" s="394" t="s">
        <v>1070</v>
      </c>
      <c r="C10" s="393" t="s">
        <v>674</v>
      </c>
      <c r="D10" s="395">
        <v>26</v>
      </c>
      <c r="E10" s="396"/>
      <c r="F10" s="396"/>
    </row>
    <row r="11" spans="1:7" s="397" customFormat="1" ht="30.75" customHeight="1">
      <c r="A11" s="393" t="s">
        <v>488</v>
      </c>
      <c r="B11" s="394" t="s">
        <v>682</v>
      </c>
      <c r="C11" s="393" t="s">
        <v>674</v>
      </c>
      <c r="D11" s="395">
        <v>26</v>
      </c>
      <c r="E11" s="396"/>
      <c r="F11" s="396"/>
    </row>
    <row r="12" spans="1:7" s="398" customFormat="1" ht="52.5" customHeight="1">
      <c r="A12" s="393" t="s">
        <v>513</v>
      </c>
      <c r="B12" s="394" t="s">
        <v>1071</v>
      </c>
      <c r="C12" s="393" t="s">
        <v>674</v>
      </c>
      <c r="D12" s="395">
        <v>1</v>
      </c>
      <c r="E12" s="396"/>
      <c r="F12" s="396"/>
    </row>
    <row r="13" spans="1:7" s="398" customFormat="1" ht="22.5" customHeight="1">
      <c r="A13" s="393" t="s">
        <v>515</v>
      </c>
      <c r="B13" s="394" t="s">
        <v>1072</v>
      </c>
      <c r="C13" s="393" t="s">
        <v>674</v>
      </c>
      <c r="D13" s="395">
        <v>1</v>
      </c>
      <c r="E13" s="396"/>
      <c r="F13" s="396"/>
    </row>
    <row r="14" spans="1:7" s="398" customFormat="1" ht="22.5" customHeight="1">
      <c r="A14" s="393" t="s">
        <v>675</v>
      </c>
      <c r="B14" s="394" t="s">
        <v>685</v>
      </c>
      <c r="C14" s="393" t="s">
        <v>674</v>
      </c>
      <c r="D14" s="395">
        <v>12</v>
      </c>
      <c r="E14" s="396"/>
      <c r="F14" s="396"/>
      <c r="G14" s="399"/>
    </row>
    <row r="15" spans="1:7" s="398" customFormat="1" ht="22.5" customHeight="1">
      <c r="A15" s="393" t="s">
        <v>686</v>
      </c>
      <c r="B15" s="394" t="s">
        <v>687</v>
      </c>
      <c r="C15" s="393" t="s">
        <v>674</v>
      </c>
      <c r="D15" s="395">
        <v>1</v>
      </c>
      <c r="E15" s="396"/>
      <c r="F15" s="396"/>
    </row>
    <row r="16" spans="1:7" s="398" customFormat="1" ht="20.25" customHeight="1">
      <c r="A16" s="393" t="s">
        <v>688</v>
      </c>
      <c r="B16" s="394" t="s">
        <v>689</v>
      </c>
      <c r="C16" s="393" t="s">
        <v>674</v>
      </c>
      <c r="D16" s="395">
        <v>3</v>
      </c>
      <c r="E16" s="396"/>
      <c r="F16" s="396"/>
    </row>
    <row r="17" spans="1:6" ht="38.25">
      <c r="A17" s="393" t="s">
        <v>690</v>
      </c>
      <c r="B17" s="394" t="s">
        <v>1073</v>
      </c>
      <c r="C17" s="393" t="s">
        <v>674</v>
      </c>
      <c r="D17" s="395">
        <v>3</v>
      </c>
      <c r="E17" s="396"/>
      <c r="F17" s="396"/>
    </row>
    <row r="18" spans="1:6" ht="25.5">
      <c r="A18" s="393" t="s">
        <v>692</v>
      </c>
      <c r="B18" s="394" t="s">
        <v>693</v>
      </c>
      <c r="C18" s="393" t="s">
        <v>674</v>
      </c>
      <c r="D18" s="395">
        <v>3</v>
      </c>
      <c r="E18" s="396"/>
      <c r="F18" s="396"/>
    </row>
    <row r="19" spans="1:6" ht="242.25">
      <c r="A19" s="393" t="s">
        <v>694</v>
      </c>
      <c r="B19" s="394" t="s">
        <v>1074</v>
      </c>
      <c r="C19" s="393" t="s">
        <v>667</v>
      </c>
      <c r="D19" s="395">
        <v>4</v>
      </c>
      <c r="E19" s="396"/>
      <c r="F19" s="396"/>
    </row>
    <row r="20" spans="1:6">
      <c r="A20" s="393" t="s">
        <v>696</v>
      </c>
      <c r="B20" s="410" t="s">
        <v>676</v>
      </c>
      <c r="C20" s="393" t="s">
        <v>667</v>
      </c>
      <c r="D20" s="395">
        <v>1</v>
      </c>
      <c r="E20" s="396"/>
      <c r="F20" s="396"/>
    </row>
    <row r="21" spans="1:6" ht="51">
      <c r="A21" s="393" t="s">
        <v>697</v>
      </c>
      <c r="B21" s="394" t="s">
        <v>890</v>
      </c>
      <c r="C21" s="393" t="s">
        <v>667</v>
      </c>
      <c r="D21" s="395">
        <v>1</v>
      </c>
      <c r="E21" s="396"/>
      <c r="F21" s="396"/>
    </row>
    <row r="22" spans="1:6">
      <c r="A22" s="393" t="s">
        <v>699</v>
      </c>
      <c r="B22" s="410" t="s">
        <v>676</v>
      </c>
      <c r="C22" s="393" t="s">
        <v>667</v>
      </c>
      <c r="D22" s="395">
        <v>1</v>
      </c>
      <c r="E22" s="396"/>
      <c r="F22" s="396"/>
    </row>
    <row r="23" spans="1:6" ht="89.25">
      <c r="A23" s="393" t="s">
        <v>700</v>
      </c>
      <c r="B23" s="394" t="s">
        <v>701</v>
      </c>
      <c r="C23" s="393" t="s">
        <v>667</v>
      </c>
      <c r="D23" s="395">
        <v>1</v>
      </c>
      <c r="E23" s="396"/>
      <c r="F23" s="396"/>
    </row>
    <row r="24" spans="1:6" s="398" customFormat="1" ht="22.5" customHeight="1">
      <c r="A24" s="400">
        <v>17</v>
      </c>
      <c r="B24" s="401" t="s">
        <v>702</v>
      </c>
      <c r="C24" s="393" t="s">
        <v>667</v>
      </c>
      <c r="D24" s="402">
        <v>1</v>
      </c>
      <c r="E24" s="403"/>
      <c r="F24" s="396"/>
    </row>
    <row r="25" spans="1:6" s="398" customFormat="1" ht="20.25" customHeight="1">
      <c r="A25" s="404"/>
      <c r="B25" s="404" t="s">
        <v>407</v>
      </c>
      <c r="C25" s="404"/>
      <c r="D25" s="405"/>
      <c r="E25" s="406"/>
      <c r="F25" s="407">
        <f>SUM(F8:F24)</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7"/>
  <sheetViews>
    <sheetView topLeftCell="A18"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7" s="199" customFormat="1" ht="32.25" customHeight="1">
      <c r="A1" s="231" t="str">
        <f>'N5-4'!A1:F1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1049</v>
      </c>
      <c r="B3" s="330"/>
      <c r="C3" s="330"/>
      <c r="D3" s="330"/>
      <c r="E3" s="330"/>
      <c r="F3" s="330"/>
    </row>
    <row r="4" spans="1:7" s="335" customFormat="1" ht="20.25" customHeight="1">
      <c r="A4" s="377" t="s">
        <v>1075</v>
      </c>
      <c r="B4" s="377"/>
      <c r="C4" s="377"/>
      <c r="D4" s="377"/>
      <c r="E4" s="377"/>
      <c r="F4" s="377"/>
      <c r="G4" s="378"/>
    </row>
    <row r="5" spans="1:7" s="199" customFormat="1" ht="19.5" customHeight="1" thickBot="1">
      <c r="A5" s="379" t="s">
        <v>516</v>
      </c>
      <c r="B5" s="379"/>
      <c r="C5" s="379"/>
      <c r="D5" s="379"/>
      <c r="E5" s="379"/>
      <c r="F5" s="379"/>
      <c r="G5" s="380"/>
    </row>
    <row r="6" spans="1:7" ht="87.6" customHeight="1" thickBot="1">
      <c r="A6" s="381" t="s">
        <v>523</v>
      </c>
      <c r="B6" s="382" t="s">
        <v>524</v>
      </c>
      <c r="C6" s="383" t="s">
        <v>525</v>
      </c>
      <c r="D6" s="384" t="s">
        <v>411</v>
      </c>
      <c r="E6" s="385" t="s">
        <v>526</v>
      </c>
      <c r="F6" s="386" t="s">
        <v>527</v>
      </c>
    </row>
    <row r="7" spans="1:7" ht="16.5" thickBot="1">
      <c r="A7" s="387">
        <v>1</v>
      </c>
      <c r="B7" s="388">
        <v>2</v>
      </c>
      <c r="C7" s="389">
        <v>3</v>
      </c>
      <c r="D7" s="390" t="s">
        <v>488</v>
      </c>
      <c r="E7" s="391" t="s">
        <v>513</v>
      </c>
      <c r="F7" s="392" t="s">
        <v>515</v>
      </c>
    </row>
    <row r="8" spans="1:7" s="397" customFormat="1" ht="25.5" customHeight="1">
      <c r="A8" s="393" t="s">
        <v>5</v>
      </c>
      <c r="B8" s="394" t="s">
        <v>1076</v>
      </c>
      <c r="C8" s="393" t="s">
        <v>667</v>
      </c>
      <c r="D8" s="395">
        <v>1</v>
      </c>
      <c r="E8" s="396"/>
      <c r="F8" s="396"/>
    </row>
    <row r="9" spans="1:7" s="397" customFormat="1" ht="16.5" customHeight="1">
      <c r="A9" s="393" t="s">
        <v>7</v>
      </c>
      <c r="B9" s="394" t="s">
        <v>676</v>
      </c>
      <c r="C9" s="393" t="s">
        <v>667</v>
      </c>
      <c r="D9" s="395">
        <v>1</v>
      </c>
      <c r="E9" s="396"/>
      <c r="F9" s="396"/>
    </row>
    <row r="10" spans="1:7" s="398" customFormat="1" ht="25.5" customHeight="1">
      <c r="A10" s="393" t="s">
        <v>487</v>
      </c>
      <c r="B10" s="394" t="s">
        <v>817</v>
      </c>
      <c r="C10" s="393" t="s">
        <v>667</v>
      </c>
      <c r="D10" s="395">
        <v>10</v>
      </c>
      <c r="E10" s="396"/>
      <c r="F10" s="396"/>
    </row>
    <row r="11" spans="1:7" s="397" customFormat="1" ht="46.5" customHeight="1">
      <c r="A11" s="393" t="s">
        <v>488</v>
      </c>
      <c r="B11" s="394" t="s">
        <v>818</v>
      </c>
      <c r="C11" s="393" t="s">
        <v>667</v>
      </c>
      <c r="D11" s="395">
        <v>10</v>
      </c>
      <c r="E11" s="396"/>
      <c r="F11" s="396"/>
    </row>
    <row r="12" spans="1:7" s="398" customFormat="1" ht="52.5" customHeight="1">
      <c r="A12" s="393" t="s">
        <v>513</v>
      </c>
      <c r="B12" s="394" t="s">
        <v>986</v>
      </c>
      <c r="C12" s="393" t="s">
        <v>667</v>
      </c>
      <c r="D12" s="395">
        <v>1</v>
      </c>
      <c r="E12" s="396"/>
      <c r="F12" s="396"/>
    </row>
    <row r="13" spans="1:7" s="398" customFormat="1" ht="22.5" customHeight="1">
      <c r="A13" s="393" t="s">
        <v>515</v>
      </c>
      <c r="B13" s="394" t="s">
        <v>987</v>
      </c>
      <c r="C13" s="393" t="s">
        <v>667</v>
      </c>
      <c r="D13" s="395">
        <v>1</v>
      </c>
      <c r="E13" s="396"/>
      <c r="F13" s="396"/>
    </row>
    <row r="14" spans="1:7" s="398" customFormat="1" ht="22.5" customHeight="1">
      <c r="A14" s="393" t="s">
        <v>675</v>
      </c>
      <c r="B14" s="394" t="s">
        <v>821</v>
      </c>
      <c r="C14" s="393" t="s">
        <v>667</v>
      </c>
      <c r="D14" s="395">
        <v>2</v>
      </c>
      <c r="E14" s="396"/>
      <c r="F14" s="396"/>
      <c r="G14" s="399"/>
    </row>
    <row r="15" spans="1:7" s="398" customFormat="1" ht="32.25" customHeight="1">
      <c r="A15" s="393" t="s">
        <v>686</v>
      </c>
      <c r="B15" s="394" t="s">
        <v>822</v>
      </c>
      <c r="C15" s="393" t="s">
        <v>667</v>
      </c>
      <c r="D15" s="395">
        <v>5</v>
      </c>
      <c r="E15" s="396"/>
      <c r="F15" s="396"/>
    </row>
    <row r="16" spans="1:7" s="398" customFormat="1" ht="32.25" customHeight="1">
      <c r="A16" s="393" t="s">
        <v>688</v>
      </c>
      <c r="B16" s="394" t="s">
        <v>1077</v>
      </c>
      <c r="C16" s="393" t="s">
        <v>824</v>
      </c>
      <c r="D16" s="395">
        <v>100</v>
      </c>
      <c r="E16" s="396"/>
      <c r="F16" s="396"/>
    </row>
    <row r="17" spans="1:6" ht="32.25" customHeight="1">
      <c r="A17" s="393" t="s">
        <v>690</v>
      </c>
      <c r="B17" s="394" t="s">
        <v>989</v>
      </c>
      <c r="C17" s="393" t="s">
        <v>824</v>
      </c>
      <c r="D17" s="395">
        <v>40</v>
      </c>
      <c r="E17" s="396"/>
      <c r="F17" s="396"/>
    </row>
    <row r="18" spans="1:6">
      <c r="A18" s="393" t="s">
        <v>692</v>
      </c>
      <c r="B18" s="394" t="s">
        <v>826</v>
      </c>
      <c r="C18" s="393"/>
      <c r="D18" s="395">
        <v>2</v>
      </c>
      <c r="E18" s="396"/>
      <c r="F18" s="396"/>
    </row>
    <row r="19" spans="1:6">
      <c r="A19" s="393" t="s">
        <v>694</v>
      </c>
      <c r="B19" s="394" t="s">
        <v>827</v>
      </c>
      <c r="C19" s="393" t="s">
        <v>667</v>
      </c>
      <c r="D19" s="395">
        <v>1</v>
      </c>
      <c r="E19" s="396"/>
      <c r="F19" s="396"/>
    </row>
    <row r="20" spans="1:6">
      <c r="A20" s="393" t="s">
        <v>696</v>
      </c>
      <c r="B20" s="394" t="s">
        <v>828</v>
      </c>
      <c r="C20" s="393" t="s">
        <v>667</v>
      </c>
      <c r="D20" s="395">
        <v>1</v>
      </c>
      <c r="E20" s="396"/>
      <c r="F20" s="396"/>
    </row>
    <row r="21" spans="1:6" ht="25.5">
      <c r="A21" s="393" t="s">
        <v>697</v>
      </c>
      <c r="B21" s="394" t="s">
        <v>829</v>
      </c>
      <c r="C21" s="393" t="s">
        <v>674</v>
      </c>
      <c r="D21" s="395">
        <v>1</v>
      </c>
      <c r="E21" s="396"/>
      <c r="F21" s="396"/>
    </row>
    <row r="22" spans="1:6" ht="25.5">
      <c r="A22" s="393" t="s">
        <v>699</v>
      </c>
      <c r="B22" s="394" t="s">
        <v>830</v>
      </c>
      <c r="C22" s="393" t="s">
        <v>674</v>
      </c>
      <c r="D22" s="395">
        <v>1</v>
      </c>
      <c r="E22" s="396"/>
      <c r="F22" s="396"/>
    </row>
    <row r="23" spans="1:6" ht="25.5">
      <c r="A23" s="393" t="s">
        <v>700</v>
      </c>
      <c r="B23" s="394" t="s">
        <v>831</v>
      </c>
      <c r="C23" s="393" t="s">
        <v>674</v>
      </c>
      <c r="D23" s="395">
        <v>1</v>
      </c>
      <c r="E23" s="396"/>
      <c r="F23" s="396"/>
    </row>
    <row r="24" spans="1:6" s="398" customFormat="1" ht="22.5" customHeight="1">
      <c r="A24" s="400">
        <v>17</v>
      </c>
      <c r="B24" s="394" t="s">
        <v>1078</v>
      </c>
      <c r="C24" s="393" t="s">
        <v>674</v>
      </c>
      <c r="D24" s="395">
        <v>30</v>
      </c>
      <c r="E24" s="396"/>
      <c r="F24" s="396"/>
    </row>
    <row r="25" spans="1:6" s="398" customFormat="1" ht="20.25" customHeight="1">
      <c r="A25" s="422">
        <v>18</v>
      </c>
      <c r="B25" s="394" t="s">
        <v>676</v>
      </c>
      <c r="C25" s="393" t="s">
        <v>667</v>
      </c>
      <c r="D25" s="395">
        <v>1</v>
      </c>
      <c r="E25" s="396"/>
      <c r="F25" s="396"/>
    </row>
    <row r="26" spans="1:6" s="398" customFormat="1" ht="22.5" customHeight="1">
      <c r="A26" s="400">
        <v>19</v>
      </c>
      <c r="B26" s="401" t="s">
        <v>702</v>
      </c>
      <c r="C26" s="393" t="s">
        <v>667</v>
      </c>
      <c r="D26" s="402">
        <v>1</v>
      </c>
      <c r="E26" s="403"/>
      <c r="F26" s="396"/>
    </row>
    <row r="27" spans="1:6" s="398" customFormat="1" ht="20.25" customHeight="1">
      <c r="A27" s="404"/>
      <c r="B27" s="404" t="s">
        <v>407</v>
      </c>
      <c r="C27" s="404"/>
      <c r="D27" s="405"/>
      <c r="E27" s="406"/>
      <c r="F27" s="407">
        <f>SUM(F8:F26)</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1"/>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7" s="199" customFormat="1" ht="32.25" customHeight="1">
      <c r="A1" s="231" t="str">
        <f>'N5-5'!A1:F1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1049</v>
      </c>
      <c r="B3" s="330"/>
      <c r="C3" s="330"/>
      <c r="D3" s="330"/>
      <c r="E3" s="330"/>
      <c r="F3" s="330"/>
    </row>
    <row r="4" spans="1:7" s="335" customFormat="1" ht="20.25" customHeight="1">
      <c r="A4" s="377" t="s">
        <v>1079</v>
      </c>
      <c r="B4" s="377"/>
      <c r="C4" s="377"/>
      <c r="D4" s="377"/>
      <c r="E4" s="377"/>
      <c r="F4" s="377"/>
      <c r="G4" s="378"/>
    </row>
    <row r="5" spans="1:7" s="199" customFormat="1" ht="19.5" customHeight="1" thickBot="1">
      <c r="A5" s="379" t="s">
        <v>517</v>
      </c>
      <c r="B5" s="379"/>
      <c r="C5" s="379"/>
      <c r="D5" s="379"/>
      <c r="E5" s="379"/>
      <c r="F5" s="379"/>
      <c r="G5" s="380"/>
    </row>
    <row r="6" spans="1:7" ht="87.6" customHeight="1" thickBot="1">
      <c r="A6" s="381" t="s">
        <v>523</v>
      </c>
      <c r="B6" s="382" t="s">
        <v>524</v>
      </c>
      <c r="C6" s="383" t="s">
        <v>525</v>
      </c>
      <c r="D6" s="384" t="s">
        <v>411</v>
      </c>
      <c r="E6" s="385" t="s">
        <v>526</v>
      </c>
      <c r="F6" s="386" t="s">
        <v>527</v>
      </c>
    </row>
    <row r="7" spans="1:7" ht="16.5" thickBot="1">
      <c r="A7" s="387">
        <v>1</v>
      </c>
      <c r="B7" s="388">
        <v>2</v>
      </c>
      <c r="C7" s="389">
        <v>3</v>
      </c>
      <c r="D7" s="390" t="s">
        <v>488</v>
      </c>
      <c r="E7" s="391" t="s">
        <v>513</v>
      </c>
      <c r="F7" s="392" t="s">
        <v>515</v>
      </c>
    </row>
    <row r="8" spans="1:7" s="397" customFormat="1" ht="36.75" customHeight="1">
      <c r="A8" s="393" t="s">
        <v>5</v>
      </c>
      <c r="B8" s="394" t="s">
        <v>835</v>
      </c>
      <c r="C8" s="393" t="s">
        <v>667</v>
      </c>
      <c r="D8" s="395">
        <v>1</v>
      </c>
      <c r="E8" s="396"/>
      <c r="F8" s="396"/>
    </row>
    <row r="9" spans="1:7" s="397" customFormat="1" ht="53.25" customHeight="1">
      <c r="A9" s="393" t="s">
        <v>7</v>
      </c>
      <c r="B9" s="394" t="s">
        <v>1080</v>
      </c>
      <c r="C9" s="393" t="s">
        <v>824</v>
      </c>
      <c r="D9" s="395">
        <v>150</v>
      </c>
      <c r="E9" s="396"/>
      <c r="F9" s="396"/>
    </row>
    <row r="10" spans="1:7" s="398" customFormat="1" ht="25.5">
      <c r="A10" s="393" t="s">
        <v>487</v>
      </c>
      <c r="B10" s="394" t="s">
        <v>837</v>
      </c>
      <c r="C10" s="393" t="s">
        <v>674</v>
      </c>
      <c r="D10" s="395">
        <v>50</v>
      </c>
      <c r="E10" s="396"/>
      <c r="F10" s="396"/>
    </row>
    <row r="11" spans="1:7" s="397" customFormat="1" ht="30.75" customHeight="1">
      <c r="A11" s="393" t="s">
        <v>488</v>
      </c>
      <c r="B11" s="394" t="s">
        <v>1081</v>
      </c>
      <c r="C11" s="393" t="s">
        <v>824</v>
      </c>
      <c r="D11" s="395">
        <v>30</v>
      </c>
      <c r="E11" s="396"/>
      <c r="F11" s="396"/>
    </row>
    <row r="12" spans="1:7" s="398" customFormat="1" ht="52.5" customHeight="1">
      <c r="A12" s="393" t="s">
        <v>513</v>
      </c>
      <c r="B12" s="394" t="s">
        <v>839</v>
      </c>
      <c r="C12" s="393" t="s">
        <v>674</v>
      </c>
      <c r="D12" s="395">
        <v>37</v>
      </c>
      <c r="E12" s="396"/>
      <c r="F12" s="396"/>
    </row>
    <row r="13" spans="1:7" s="398" customFormat="1" ht="54" customHeight="1">
      <c r="A13" s="393" t="s">
        <v>515</v>
      </c>
      <c r="B13" s="394" t="s">
        <v>840</v>
      </c>
      <c r="C13" s="393" t="s">
        <v>674</v>
      </c>
      <c r="D13" s="395">
        <v>5</v>
      </c>
      <c r="E13" s="396"/>
      <c r="F13" s="396"/>
    </row>
    <row r="14" spans="1:7" s="398" customFormat="1" ht="54" customHeight="1">
      <c r="A14" s="393" t="s">
        <v>675</v>
      </c>
      <c r="B14" s="394" t="s">
        <v>841</v>
      </c>
      <c r="C14" s="393" t="s">
        <v>674</v>
      </c>
      <c r="D14" s="395">
        <v>15</v>
      </c>
      <c r="E14" s="396"/>
      <c r="F14" s="396"/>
      <c r="G14" s="399"/>
    </row>
    <row r="15" spans="1:7" s="398" customFormat="1" ht="54" customHeight="1">
      <c r="A15" s="393" t="s">
        <v>686</v>
      </c>
      <c r="B15" s="394" t="s">
        <v>842</v>
      </c>
      <c r="C15" s="393" t="s">
        <v>674</v>
      </c>
      <c r="D15" s="395">
        <v>11</v>
      </c>
      <c r="E15" s="396"/>
      <c r="F15" s="396"/>
    </row>
    <row r="16" spans="1:7" s="398" customFormat="1" ht="54" customHeight="1">
      <c r="A16" s="393" t="s">
        <v>688</v>
      </c>
      <c r="B16" s="394" t="s">
        <v>843</v>
      </c>
      <c r="C16" s="393" t="s">
        <v>674</v>
      </c>
      <c r="D16" s="395">
        <v>3</v>
      </c>
      <c r="E16" s="396"/>
      <c r="F16" s="396"/>
    </row>
    <row r="17" spans="1:6" ht="38.25">
      <c r="A17" s="393" t="s">
        <v>690</v>
      </c>
      <c r="B17" s="394" t="s">
        <v>844</v>
      </c>
      <c r="C17" s="393" t="s">
        <v>824</v>
      </c>
      <c r="D17" s="395">
        <v>200</v>
      </c>
      <c r="E17" s="396"/>
      <c r="F17" s="396"/>
    </row>
    <row r="18" spans="1:6" ht="38.25">
      <c r="A18" s="393" t="s">
        <v>692</v>
      </c>
      <c r="B18" s="394" t="s">
        <v>844</v>
      </c>
      <c r="C18" s="393" t="s">
        <v>824</v>
      </c>
      <c r="D18" s="395">
        <v>250</v>
      </c>
      <c r="E18" s="396"/>
      <c r="F18" s="396"/>
    </row>
    <row r="19" spans="1:6" s="398" customFormat="1" ht="20.25" customHeight="1">
      <c r="A19" s="422">
        <v>18</v>
      </c>
      <c r="B19" s="394" t="s">
        <v>676</v>
      </c>
      <c r="C19" s="393" t="s">
        <v>667</v>
      </c>
      <c r="D19" s="395">
        <v>1</v>
      </c>
      <c r="E19" s="396"/>
      <c r="F19" s="396"/>
    </row>
    <row r="20" spans="1:6">
      <c r="A20" s="393" t="s">
        <v>694</v>
      </c>
      <c r="B20" s="401" t="s">
        <v>702</v>
      </c>
      <c r="C20" s="393" t="s">
        <v>667</v>
      </c>
      <c r="D20" s="395">
        <v>1</v>
      </c>
      <c r="E20" s="396"/>
      <c r="F20" s="396"/>
    </row>
    <row r="21" spans="1:6" s="398" customFormat="1" ht="20.25" customHeight="1">
      <c r="A21" s="404"/>
      <c r="B21" s="404" t="s">
        <v>407</v>
      </c>
      <c r="C21" s="404"/>
      <c r="D21" s="405"/>
      <c r="E21" s="406"/>
      <c r="F21" s="407">
        <f>SUM(F8:F20)</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7" s="199" customFormat="1" ht="32.25" customHeight="1">
      <c r="A1" s="231" t="str">
        <f>'N5-6'!A1:F1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1049</v>
      </c>
      <c r="B3" s="330"/>
      <c r="C3" s="330"/>
      <c r="D3" s="330"/>
      <c r="E3" s="330"/>
      <c r="F3" s="330"/>
    </row>
    <row r="4" spans="1:7" s="335" customFormat="1" ht="20.25" customHeight="1">
      <c r="A4" s="377" t="s">
        <v>1082</v>
      </c>
      <c r="B4" s="377"/>
      <c r="C4" s="377"/>
      <c r="D4" s="377"/>
      <c r="E4" s="377"/>
      <c r="F4" s="377"/>
      <c r="G4" s="378"/>
    </row>
    <row r="5" spans="1:7" s="199" customFormat="1" ht="19.5" customHeight="1" thickBot="1">
      <c r="A5" s="379" t="s">
        <v>847</v>
      </c>
      <c r="B5" s="379"/>
      <c r="C5" s="379"/>
      <c r="D5" s="379"/>
      <c r="E5" s="379"/>
      <c r="F5" s="379"/>
      <c r="G5" s="380"/>
    </row>
    <row r="6" spans="1:7" ht="87.6" customHeight="1" thickBot="1">
      <c r="A6" s="381" t="s">
        <v>523</v>
      </c>
      <c r="B6" s="382" t="s">
        <v>524</v>
      </c>
      <c r="C6" s="383" t="s">
        <v>525</v>
      </c>
      <c r="D6" s="384" t="s">
        <v>411</v>
      </c>
      <c r="E6" s="385" t="s">
        <v>526</v>
      </c>
      <c r="F6" s="386" t="s">
        <v>527</v>
      </c>
    </row>
    <row r="7" spans="1:7" ht="16.5" thickBot="1">
      <c r="A7" s="387">
        <v>1</v>
      </c>
      <c r="B7" s="388">
        <v>2</v>
      </c>
      <c r="C7" s="389">
        <v>3</v>
      </c>
      <c r="D7" s="390" t="s">
        <v>488</v>
      </c>
      <c r="E7" s="391" t="s">
        <v>513</v>
      </c>
      <c r="F7" s="392" t="s">
        <v>515</v>
      </c>
    </row>
    <row r="8" spans="1:7" s="397" customFormat="1" ht="36.75" customHeight="1">
      <c r="A8" s="393" t="s">
        <v>5</v>
      </c>
      <c r="B8" s="394" t="s">
        <v>848</v>
      </c>
      <c r="C8" s="393" t="s">
        <v>674</v>
      </c>
      <c r="D8" s="395">
        <v>1</v>
      </c>
      <c r="E8" s="396"/>
      <c r="F8" s="396"/>
    </row>
    <row r="9" spans="1:7" s="397" customFormat="1" ht="53.25" customHeight="1">
      <c r="A9" s="393" t="s">
        <v>7</v>
      </c>
      <c r="B9" s="394" t="s">
        <v>849</v>
      </c>
      <c r="C9" s="393" t="s">
        <v>674</v>
      </c>
      <c r="D9" s="395">
        <v>2</v>
      </c>
      <c r="E9" s="396"/>
      <c r="F9" s="396"/>
    </row>
    <row r="10" spans="1:7" s="398" customFormat="1" ht="76.5">
      <c r="A10" s="393" t="s">
        <v>487</v>
      </c>
      <c r="B10" s="394" t="s">
        <v>850</v>
      </c>
      <c r="C10" s="393" t="s">
        <v>674</v>
      </c>
      <c r="D10" s="395">
        <v>4</v>
      </c>
      <c r="E10" s="396"/>
      <c r="F10" s="396"/>
    </row>
    <row r="11" spans="1:7" s="397" customFormat="1" ht="31.5" customHeight="1">
      <c r="A11" s="393" t="s">
        <v>488</v>
      </c>
      <c r="B11" s="394" t="s">
        <v>851</v>
      </c>
      <c r="C11" s="393" t="s">
        <v>824</v>
      </c>
      <c r="D11" s="395">
        <v>60</v>
      </c>
      <c r="E11" s="396"/>
      <c r="F11" s="396"/>
    </row>
    <row r="12" spans="1:7" s="398" customFormat="1" ht="31.5" customHeight="1">
      <c r="A12" s="393" t="s">
        <v>513</v>
      </c>
      <c r="B12" s="394" t="s">
        <v>852</v>
      </c>
      <c r="C12" s="393" t="s">
        <v>674</v>
      </c>
      <c r="D12" s="395">
        <v>10</v>
      </c>
      <c r="E12" s="396"/>
      <c r="F12" s="396"/>
    </row>
    <row r="13" spans="1:7" s="398" customFormat="1" ht="31.5" customHeight="1">
      <c r="A13" s="393" t="s">
        <v>515</v>
      </c>
      <c r="B13" s="394" t="s">
        <v>853</v>
      </c>
      <c r="C13" s="393" t="s">
        <v>824</v>
      </c>
      <c r="D13" s="395">
        <v>36</v>
      </c>
      <c r="E13" s="396"/>
      <c r="F13" s="396"/>
    </row>
    <row r="14" spans="1:7" s="398" customFormat="1" ht="31.5" customHeight="1">
      <c r="A14" s="393" t="s">
        <v>675</v>
      </c>
      <c r="B14" s="394" t="s">
        <v>854</v>
      </c>
      <c r="C14" s="393" t="s">
        <v>667</v>
      </c>
      <c r="D14" s="395">
        <v>1</v>
      </c>
      <c r="E14" s="396"/>
      <c r="F14" s="396"/>
      <c r="G14" s="399"/>
    </row>
    <row r="15" spans="1:7" s="398" customFormat="1" ht="31.5" customHeight="1">
      <c r="A15" s="393" t="s">
        <v>686</v>
      </c>
      <c r="B15" s="394" t="s">
        <v>855</v>
      </c>
      <c r="C15" s="393" t="s">
        <v>667</v>
      </c>
      <c r="D15" s="395">
        <v>1</v>
      </c>
      <c r="E15" s="396"/>
      <c r="F15" s="396"/>
    </row>
    <row r="16" spans="1:7" s="398" customFormat="1" ht="31.5" customHeight="1">
      <c r="A16" s="393" t="s">
        <v>688</v>
      </c>
      <c r="B16" s="394" t="s">
        <v>1083</v>
      </c>
      <c r="C16" s="393" t="s">
        <v>667</v>
      </c>
      <c r="D16" s="395">
        <v>1</v>
      </c>
      <c r="E16" s="396"/>
      <c r="F16" s="396"/>
    </row>
    <row r="17" spans="1:6">
      <c r="A17" s="393" t="s">
        <v>690</v>
      </c>
      <c r="B17" s="394" t="s">
        <v>854</v>
      </c>
      <c r="C17" s="393" t="s">
        <v>667</v>
      </c>
      <c r="D17" s="395">
        <v>1</v>
      </c>
      <c r="E17" s="396"/>
      <c r="F17" s="396"/>
    </row>
    <row r="18" spans="1:6" s="398" customFormat="1" ht="22.5" customHeight="1">
      <c r="A18" s="393" t="s">
        <v>692</v>
      </c>
      <c r="B18" s="401" t="s">
        <v>702</v>
      </c>
      <c r="C18" s="393" t="s">
        <v>667</v>
      </c>
      <c r="D18" s="402">
        <v>1</v>
      </c>
      <c r="E18" s="403"/>
      <c r="F18" s="396"/>
    </row>
    <row r="19" spans="1:6" s="398" customFormat="1" ht="20.25" customHeight="1">
      <c r="A19" s="404"/>
      <c r="B19" s="404" t="s">
        <v>407</v>
      </c>
      <c r="C19" s="404"/>
      <c r="D19" s="405"/>
      <c r="E19" s="406"/>
      <c r="F19" s="407">
        <f>SUM(F8:F18)</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O17"/>
  <sheetViews>
    <sheetView zoomScaleNormal="100" workbookViewId="0">
      <selection activeCell="B8" sqref="B8"/>
    </sheetView>
  </sheetViews>
  <sheetFormatPr defaultRowHeight="12.75"/>
  <cols>
    <col min="1" max="1" width="7.7109375" style="104" customWidth="1"/>
    <col min="2" max="2" width="10.7109375" style="104" customWidth="1"/>
    <col min="3" max="3" width="45.7109375" style="104" customWidth="1"/>
    <col min="4" max="4" width="21" style="104" customWidth="1"/>
    <col min="5" max="16384" width="9.140625" style="104"/>
  </cols>
  <sheetData>
    <row r="1" spans="1:4" s="199" customFormat="1" ht="54" customHeight="1">
      <c r="A1" s="231" t="str">
        <f>'N5-7'!A1:F1</f>
        <v>yazbegis, aragvis, fSav-xevsureTisa da TuSeTis dacul teritoriebze arsebuli 7 qoxis saxarjTaRricxvo dokumentacia.</v>
      </c>
      <c r="B1" s="198"/>
      <c r="C1" s="198"/>
      <c r="D1" s="198"/>
    </row>
    <row r="2" spans="1:4" s="201" customFormat="1" ht="24" customHeight="1">
      <c r="A2" s="200" t="s">
        <v>501</v>
      </c>
      <c r="B2" s="200"/>
      <c r="C2" s="200"/>
      <c r="D2" s="200"/>
    </row>
    <row r="3" spans="1:4" s="201" customFormat="1" ht="23.25" customHeight="1" thickBot="1">
      <c r="A3" s="202" t="s">
        <v>1084</v>
      </c>
      <c r="B3" s="202"/>
      <c r="C3" s="202"/>
      <c r="D3" s="202"/>
    </row>
    <row r="4" spans="1:4" s="201" customFormat="1" ht="108" customHeight="1" thickBot="1">
      <c r="A4" s="203" t="s">
        <v>506</v>
      </c>
      <c r="B4" s="204" t="s">
        <v>392</v>
      </c>
      <c r="C4" s="205" t="s">
        <v>507</v>
      </c>
      <c r="D4" s="205" t="s">
        <v>508</v>
      </c>
    </row>
    <row r="5" spans="1:4" s="201" customFormat="1" ht="20.25" customHeight="1" thickBot="1">
      <c r="A5" s="206">
        <v>1</v>
      </c>
      <c r="B5" s="207">
        <v>2</v>
      </c>
      <c r="C5" s="206">
        <v>3</v>
      </c>
      <c r="D5" s="206">
        <v>4</v>
      </c>
    </row>
    <row r="6" spans="1:4" s="201" customFormat="1" ht="22.5" customHeight="1">
      <c r="A6" s="208">
        <v>1</v>
      </c>
      <c r="B6" s="424" t="s">
        <v>1085</v>
      </c>
      <c r="C6" s="210" t="s">
        <v>509</v>
      </c>
      <c r="D6" s="425">
        <f>'N6-1'!F83</f>
        <v>0</v>
      </c>
    </row>
    <row r="7" spans="1:4" s="216" customFormat="1" ht="39.75" customHeight="1">
      <c r="A7" s="212" t="s">
        <v>7</v>
      </c>
      <c r="B7" s="424" t="s">
        <v>1086</v>
      </c>
      <c r="C7" s="214" t="s">
        <v>510</v>
      </c>
      <c r="D7" s="215">
        <f>'N6-2'!F17</f>
        <v>0</v>
      </c>
    </row>
    <row r="8" spans="1:4" s="201" customFormat="1" ht="22.5" customHeight="1">
      <c r="A8" s="217">
        <v>3</v>
      </c>
      <c r="B8" s="424" t="s">
        <v>1087</v>
      </c>
      <c r="C8" s="218" t="s">
        <v>511</v>
      </c>
      <c r="D8" s="215">
        <f>'N6-3'!F16</f>
        <v>0</v>
      </c>
    </row>
    <row r="9" spans="1:4" s="201" customFormat="1" ht="22.5" customHeight="1">
      <c r="A9" s="212" t="s">
        <v>488</v>
      </c>
      <c r="B9" s="424" t="s">
        <v>1088</v>
      </c>
      <c r="C9" s="218" t="s">
        <v>512</v>
      </c>
      <c r="D9" s="215">
        <f>'N6-4'!F25</f>
        <v>0</v>
      </c>
    </row>
    <row r="10" spans="1:4" s="201" customFormat="1" ht="22.5" customHeight="1">
      <c r="A10" s="212" t="s">
        <v>513</v>
      </c>
      <c r="B10" s="424" t="s">
        <v>1089</v>
      </c>
      <c r="C10" s="218" t="s">
        <v>514</v>
      </c>
      <c r="D10" s="215">
        <f>'N6-5'!F113</f>
        <v>0</v>
      </c>
    </row>
    <row r="11" spans="1:4" s="201" customFormat="1" ht="22.5" customHeight="1">
      <c r="A11" s="212" t="s">
        <v>515</v>
      </c>
      <c r="B11" s="424" t="s">
        <v>1090</v>
      </c>
      <c r="C11" s="218" t="s">
        <v>516</v>
      </c>
      <c r="D11" s="215">
        <f>'N6-6'!F27</f>
        <v>0</v>
      </c>
    </row>
    <row r="12" spans="1:4" s="201" customFormat="1" ht="39" customHeight="1">
      <c r="A12" s="217">
        <v>7</v>
      </c>
      <c r="B12" s="424" t="s">
        <v>1091</v>
      </c>
      <c r="C12" s="219" t="s">
        <v>517</v>
      </c>
      <c r="D12" s="215">
        <f>'N6-7'!F21</f>
        <v>0</v>
      </c>
    </row>
    <row r="13" spans="1:4" s="201" customFormat="1" ht="33.75" customHeight="1">
      <c r="A13" s="217">
        <v>8</v>
      </c>
      <c r="B13" s="424" t="s">
        <v>1092</v>
      </c>
      <c r="C13" s="219" t="s">
        <v>518</v>
      </c>
      <c r="D13" s="215">
        <f>'N6-8'!F19</f>
        <v>0</v>
      </c>
    </row>
    <row r="14" spans="1:4" s="201" customFormat="1" ht="22.5" customHeight="1" thickBot="1">
      <c r="A14" s="220" t="s">
        <v>675</v>
      </c>
      <c r="B14" s="221"/>
      <c r="C14" s="222" t="s">
        <v>519</v>
      </c>
      <c r="D14" s="223">
        <f>SUM(D6:D13)</f>
        <v>0</v>
      </c>
    </row>
    <row r="15" spans="1:4" s="225" customFormat="1" ht="13.5">
      <c r="A15" s="224"/>
    </row>
    <row r="16" spans="1:4" s="226" customFormat="1"/>
    <row r="17" spans="1:119" s="229" customFormat="1" ht="15">
      <c r="A17" s="228"/>
      <c r="B17" s="228"/>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30"/>
      <c r="AP17" s="230"/>
      <c r="AQ17" s="230"/>
      <c r="AR17" s="230"/>
      <c r="AS17" s="230"/>
      <c r="AT17" s="230"/>
      <c r="AU17" s="230"/>
      <c r="AV17" s="230"/>
      <c r="AW17" s="230"/>
      <c r="AX17" s="230"/>
      <c r="AY17" s="230"/>
      <c r="AZ17" s="230"/>
      <c r="BA17" s="230"/>
      <c r="BB17" s="230"/>
      <c r="BC17" s="230"/>
      <c r="BD17" s="230"/>
      <c r="BE17" s="230"/>
      <c r="BF17" s="230"/>
      <c r="BG17" s="230"/>
      <c r="BH17" s="230"/>
      <c r="BI17" s="230"/>
      <c r="BJ17" s="230"/>
      <c r="BK17" s="230"/>
      <c r="BL17" s="230"/>
      <c r="BM17" s="230"/>
      <c r="BN17" s="230"/>
      <c r="BO17" s="230"/>
      <c r="BP17" s="230"/>
      <c r="BQ17" s="230"/>
      <c r="BR17" s="230"/>
      <c r="BS17" s="230"/>
      <c r="BT17" s="230"/>
      <c r="BU17" s="230"/>
      <c r="BV17" s="230"/>
      <c r="BW17" s="230"/>
      <c r="BX17" s="230"/>
      <c r="BY17" s="230"/>
      <c r="BZ17" s="230"/>
      <c r="CA17" s="230"/>
      <c r="CB17" s="230"/>
      <c r="CC17" s="230"/>
      <c r="CD17" s="230"/>
      <c r="CE17" s="230"/>
      <c r="CF17" s="230"/>
      <c r="CG17" s="230"/>
      <c r="CH17" s="230"/>
      <c r="CI17" s="230"/>
      <c r="CJ17" s="230"/>
      <c r="CK17" s="230"/>
      <c r="CL17" s="230"/>
      <c r="CM17" s="230"/>
      <c r="CN17" s="230"/>
      <c r="CO17" s="230"/>
      <c r="CP17" s="230"/>
      <c r="CQ17" s="230"/>
      <c r="CR17" s="230"/>
      <c r="CS17" s="230"/>
      <c r="CT17" s="230"/>
      <c r="CU17" s="230"/>
      <c r="CV17" s="230"/>
      <c r="CW17" s="230"/>
      <c r="CX17" s="230"/>
      <c r="CY17" s="230"/>
      <c r="CZ17" s="230"/>
      <c r="DA17" s="230"/>
      <c r="DB17" s="230"/>
      <c r="DC17" s="230"/>
      <c r="DD17" s="230"/>
      <c r="DE17" s="230"/>
      <c r="DF17" s="230"/>
      <c r="DG17" s="230"/>
      <c r="DH17" s="230"/>
      <c r="DI17" s="230"/>
      <c r="DJ17" s="230"/>
      <c r="DK17" s="230"/>
      <c r="DL17" s="230"/>
      <c r="DM17" s="230"/>
      <c r="DN17" s="230"/>
      <c r="DO17" s="230"/>
    </row>
  </sheetData>
  <mergeCells count="3">
    <mergeCell ref="A1:D1"/>
    <mergeCell ref="A2:D2"/>
    <mergeCell ref="A3:D3"/>
  </mergeCells>
  <pageMargins left="0.7" right="0.7" top="0.75" bottom="0.75" header="0.3" footer="0.3"/>
  <pageSetup paperSize="9"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87"/>
  <sheetViews>
    <sheetView topLeftCell="A76" zoomScaleNormal="100" workbookViewId="0">
      <selection activeCell="B8" sqref="B8"/>
    </sheetView>
  </sheetViews>
  <sheetFormatPr defaultRowHeight="12.75"/>
  <cols>
    <col min="1" max="1" width="5.5703125" style="104" customWidth="1"/>
    <col min="2" max="2" width="47.140625" style="104" bestFit="1" customWidth="1"/>
    <col min="3" max="4" width="7.5703125" style="104" customWidth="1"/>
    <col min="5" max="5" width="8.85546875" style="104" customWidth="1"/>
    <col min="6" max="6" width="11.7109375" style="104" customWidth="1"/>
    <col min="7" max="16384" width="9.140625" style="104"/>
  </cols>
  <sheetData>
    <row r="1" spans="1:7" s="199" customFormat="1" ht="32.25" customHeight="1">
      <c r="A1" s="231" t="str">
        <f>ob.N6!A1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1093</v>
      </c>
      <c r="B3" s="330"/>
      <c r="C3" s="330"/>
      <c r="D3" s="330"/>
      <c r="E3" s="330"/>
      <c r="F3" s="330"/>
    </row>
    <row r="4" spans="1:7" s="335" customFormat="1" ht="20.25" customHeight="1">
      <c r="A4" s="377" t="s">
        <v>1094</v>
      </c>
      <c r="B4" s="377"/>
      <c r="C4" s="377"/>
      <c r="D4" s="377"/>
      <c r="E4" s="377"/>
      <c r="F4" s="377"/>
      <c r="G4" s="378"/>
    </row>
    <row r="5" spans="1:7" s="199" customFormat="1" ht="19.5" customHeight="1" thickBot="1">
      <c r="A5" s="379" t="s">
        <v>522</v>
      </c>
      <c r="B5" s="379"/>
      <c r="C5" s="379"/>
      <c r="D5" s="379"/>
      <c r="E5" s="379"/>
      <c r="F5" s="379"/>
      <c r="G5" s="380"/>
    </row>
    <row r="6" spans="1:7" ht="46.5" customHeight="1">
      <c r="A6" s="547" t="s">
        <v>523</v>
      </c>
      <c r="B6" s="548" t="s">
        <v>524</v>
      </c>
      <c r="C6" s="552" t="s">
        <v>525</v>
      </c>
      <c r="D6" s="570" t="s">
        <v>411</v>
      </c>
      <c r="E6" s="552" t="s">
        <v>526</v>
      </c>
      <c r="F6" s="571" t="s">
        <v>527</v>
      </c>
    </row>
    <row r="7" spans="1:7" ht="49.5" customHeight="1" thickBot="1">
      <c r="A7" s="553"/>
      <c r="B7" s="554"/>
      <c r="C7" s="558"/>
      <c r="D7" s="572"/>
      <c r="E7" s="558"/>
      <c r="F7" s="573"/>
    </row>
    <row r="8" spans="1:7" s="584" customFormat="1" ht="20.25" customHeight="1" thickBot="1">
      <c r="A8" s="582">
        <v>1</v>
      </c>
      <c r="B8" s="583">
        <v>2</v>
      </c>
      <c r="C8" s="582">
        <v>3</v>
      </c>
      <c r="D8" s="576">
        <v>4</v>
      </c>
      <c r="E8" s="577">
        <v>5</v>
      </c>
      <c r="F8" s="578">
        <v>6</v>
      </c>
    </row>
    <row r="9" spans="1:7" ht="16.5">
      <c r="A9" s="441"/>
      <c r="B9" s="442" t="s">
        <v>1008</v>
      </c>
      <c r="C9" s="441"/>
      <c r="D9" s="253"/>
      <c r="E9" s="253"/>
      <c r="F9" s="585"/>
    </row>
    <row r="10" spans="1:7" ht="54" customHeight="1">
      <c r="A10" s="366">
        <v>1</v>
      </c>
      <c r="B10" s="358" t="s">
        <v>1095</v>
      </c>
      <c r="C10" s="366" t="s">
        <v>537</v>
      </c>
      <c r="D10" s="449">
        <v>6.48</v>
      </c>
      <c r="E10" s="266"/>
      <c r="F10" s="360"/>
    </row>
    <row r="11" spans="1:7" ht="31.5">
      <c r="A11" s="366">
        <v>2</v>
      </c>
      <c r="B11" s="358" t="s">
        <v>567</v>
      </c>
      <c r="C11" s="366" t="s">
        <v>537</v>
      </c>
      <c r="D11" s="449">
        <f>4.326+0.00864*103</f>
        <v>5.2159199999999997</v>
      </c>
      <c r="E11" s="266"/>
      <c r="F11" s="360"/>
    </row>
    <row r="12" spans="1:7" ht="31.5">
      <c r="A12" s="445">
        <v>3</v>
      </c>
      <c r="B12" s="358" t="s">
        <v>568</v>
      </c>
      <c r="C12" s="366" t="s">
        <v>537</v>
      </c>
      <c r="D12" s="450">
        <v>0.74941999999999998</v>
      </c>
      <c r="E12" s="266"/>
      <c r="F12" s="360"/>
    </row>
    <row r="13" spans="1:7" ht="31.5">
      <c r="A13" s="400">
        <v>4</v>
      </c>
      <c r="B13" s="358" t="s">
        <v>1096</v>
      </c>
      <c r="C13" s="366" t="s">
        <v>537</v>
      </c>
      <c r="D13" s="366">
        <v>0.47839999999999999</v>
      </c>
      <c r="E13" s="266"/>
      <c r="F13" s="360"/>
    </row>
    <row r="14" spans="1:7" ht="31.5">
      <c r="A14" s="359">
        <v>5</v>
      </c>
      <c r="B14" s="358" t="s">
        <v>569</v>
      </c>
      <c r="C14" s="359" t="s">
        <v>537</v>
      </c>
      <c r="D14" s="451">
        <f>D11+D12+D13</f>
        <v>6.4437399999999991</v>
      </c>
      <c r="E14" s="274"/>
      <c r="F14" s="360"/>
    </row>
    <row r="15" spans="1:7" ht="15.75">
      <c r="A15" s="359">
        <v>6</v>
      </c>
      <c r="B15" s="358" t="s">
        <v>570</v>
      </c>
      <c r="C15" s="359" t="s">
        <v>554</v>
      </c>
      <c r="D15" s="263">
        <v>200</v>
      </c>
      <c r="E15" s="274"/>
      <c r="F15" s="360"/>
    </row>
    <row r="16" spans="1:7" s="584" customFormat="1" ht="31.5">
      <c r="A16" s="362">
        <v>7</v>
      </c>
      <c r="B16" s="358" t="s">
        <v>571</v>
      </c>
      <c r="C16" s="359" t="s">
        <v>537</v>
      </c>
      <c r="D16" s="451">
        <f>D14</f>
        <v>6.4437399999999991</v>
      </c>
      <c r="E16" s="274"/>
      <c r="F16" s="360"/>
    </row>
    <row r="17" spans="1:6" ht="31.5">
      <c r="A17" s="366">
        <v>7</v>
      </c>
      <c r="B17" s="358" t="s">
        <v>572</v>
      </c>
      <c r="C17" s="366" t="s">
        <v>530</v>
      </c>
      <c r="D17" s="259">
        <v>3.64</v>
      </c>
      <c r="E17" s="266"/>
      <c r="F17" s="360"/>
    </row>
    <row r="18" spans="1:6" ht="31.5">
      <c r="A18" s="366">
        <v>8</v>
      </c>
      <c r="B18" s="358" t="s">
        <v>573</v>
      </c>
      <c r="C18" s="366" t="s">
        <v>530</v>
      </c>
      <c r="D18" s="278">
        <f>8.96+1.58+4</f>
        <v>14.540000000000001</v>
      </c>
      <c r="E18" s="266"/>
      <c r="F18" s="360"/>
    </row>
    <row r="19" spans="1:6" ht="31.5">
      <c r="A19" s="366">
        <v>9</v>
      </c>
      <c r="B19" s="358" t="s">
        <v>1097</v>
      </c>
      <c r="C19" s="366" t="s">
        <v>530</v>
      </c>
      <c r="D19" s="278">
        <v>10.64</v>
      </c>
      <c r="E19" s="266"/>
      <c r="F19" s="360"/>
    </row>
    <row r="20" spans="1:6" ht="31.5">
      <c r="A20" s="366">
        <v>10</v>
      </c>
      <c r="B20" s="358" t="s">
        <v>1098</v>
      </c>
      <c r="C20" s="366" t="s">
        <v>530</v>
      </c>
      <c r="D20" s="278">
        <v>11.7</v>
      </c>
      <c r="E20" s="266"/>
      <c r="F20" s="360"/>
    </row>
    <row r="21" spans="1:6" ht="15.75">
      <c r="A21" s="281">
        <v>11</v>
      </c>
      <c r="B21" s="452" t="s">
        <v>575</v>
      </c>
      <c r="C21" s="281" t="s">
        <v>530</v>
      </c>
      <c r="D21" s="268">
        <f>D18+D19+D17+D20</f>
        <v>40.519999999999996</v>
      </c>
      <c r="E21" s="270"/>
      <c r="F21" s="360"/>
    </row>
    <row r="22" spans="1:6" ht="31.5">
      <c r="A22" s="400">
        <v>12</v>
      </c>
      <c r="B22" s="358" t="s">
        <v>1099</v>
      </c>
      <c r="C22" s="366" t="s">
        <v>537</v>
      </c>
      <c r="D22" s="366">
        <v>3.7488199999999998</v>
      </c>
      <c r="E22" s="266"/>
      <c r="F22" s="360"/>
    </row>
    <row r="23" spans="1:6" ht="15.75">
      <c r="A23" s="281"/>
      <c r="B23" s="280" t="s">
        <v>578</v>
      </c>
      <c r="C23" s="281" t="s">
        <v>474</v>
      </c>
      <c r="D23" s="268">
        <v>390</v>
      </c>
      <c r="E23" s="268"/>
      <c r="F23" s="360"/>
    </row>
    <row r="24" spans="1:6" ht="15.75">
      <c r="A24" s="281"/>
      <c r="B24" s="280" t="s">
        <v>580</v>
      </c>
      <c r="C24" s="281" t="s">
        <v>474</v>
      </c>
      <c r="D24" s="268">
        <v>440</v>
      </c>
      <c r="E24" s="268"/>
      <c r="F24" s="360"/>
    </row>
    <row r="25" spans="1:6" ht="16.5">
      <c r="A25" s="441"/>
      <c r="B25" s="442" t="s">
        <v>581</v>
      </c>
      <c r="C25" s="441"/>
      <c r="D25" s="253"/>
      <c r="E25" s="253"/>
      <c r="F25" s="360"/>
    </row>
    <row r="26" spans="1:6" ht="31.5">
      <c r="A26" s="400">
        <v>1</v>
      </c>
      <c r="B26" s="358" t="s">
        <v>1013</v>
      </c>
      <c r="C26" s="366" t="s">
        <v>530</v>
      </c>
      <c r="D26" s="259">
        <v>1.716</v>
      </c>
      <c r="E26" s="266"/>
      <c r="F26" s="360"/>
    </row>
    <row r="27" spans="1:6" ht="63">
      <c r="A27" s="359">
        <v>2</v>
      </c>
      <c r="B27" s="358" t="s">
        <v>583</v>
      </c>
      <c r="C27" s="359" t="s">
        <v>554</v>
      </c>
      <c r="D27" s="263">
        <v>107.25</v>
      </c>
      <c r="E27" s="274"/>
      <c r="F27" s="360"/>
    </row>
    <row r="28" spans="1:6" ht="47.25">
      <c r="A28" s="359"/>
      <c r="B28" s="358" t="s">
        <v>584</v>
      </c>
      <c r="C28" s="362" t="s">
        <v>530</v>
      </c>
      <c r="D28" s="363">
        <f>D27*0.025</f>
        <v>2.6812500000000004</v>
      </c>
      <c r="E28" s="274"/>
      <c r="F28" s="360"/>
    </row>
    <row r="29" spans="1:6" ht="15.75">
      <c r="A29" s="400">
        <v>3</v>
      </c>
      <c r="B29" s="358" t="s">
        <v>585</v>
      </c>
      <c r="C29" s="366" t="s">
        <v>586</v>
      </c>
      <c r="D29" s="259">
        <f>D27</f>
        <v>107.25</v>
      </c>
      <c r="E29" s="266"/>
      <c r="F29" s="360"/>
    </row>
    <row r="30" spans="1:6" ht="31.5">
      <c r="A30" s="400">
        <v>4</v>
      </c>
      <c r="B30" s="358" t="s">
        <v>870</v>
      </c>
      <c r="C30" s="366" t="s">
        <v>554</v>
      </c>
      <c r="D30" s="259">
        <f>D27</f>
        <v>107.25</v>
      </c>
      <c r="E30" s="266"/>
      <c r="F30" s="360"/>
    </row>
    <row r="31" spans="1:6" ht="15.75">
      <c r="A31" s="400">
        <v>5</v>
      </c>
      <c r="B31" s="358" t="s">
        <v>588</v>
      </c>
      <c r="C31" s="366" t="s">
        <v>586</v>
      </c>
      <c r="D31" s="259">
        <f>D27</f>
        <v>107.25</v>
      </c>
      <c r="E31" s="266"/>
      <c r="F31" s="360"/>
    </row>
    <row r="32" spans="1:6" ht="63">
      <c r="A32" s="359">
        <v>6</v>
      </c>
      <c r="B32" s="358" t="s">
        <v>1014</v>
      </c>
      <c r="C32" s="359" t="s">
        <v>554</v>
      </c>
      <c r="D32" s="283">
        <v>92.7</v>
      </c>
      <c r="E32" s="274"/>
      <c r="F32" s="360"/>
    </row>
    <row r="33" spans="1:6" ht="47.25">
      <c r="A33" s="359"/>
      <c r="B33" s="358" t="s">
        <v>584</v>
      </c>
      <c r="C33" s="362" t="s">
        <v>530</v>
      </c>
      <c r="D33" s="363">
        <f>D32*0.025</f>
        <v>2.3175000000000003</v>
      </c>
      <c r="E33" s="274"/>
      <c r="F33" s="360"/>
    </row>
    <row r="34" spans="1:6" ht="31.5">
      <c r="A34" s="359">
        <v>7</v>
      </c>
      <c r="B34" s="358" t="s">
        <v>590</v>
      </c>
      <c r="C34" s="359" t="s">
        <v>554</v>
      </c>
      <c r="D34" s="263">
        <v>14.55</v>
      </c>
      <c r="E34" s="274"/>
      <c r="F34" s="360"/>
    </row>
    <row r="35" spans="1:6" ht="16.5">
      <c r="A35" s="441"/>
      <c r="B35" s="442" t="s">
        <v>591</v>
      </c>
      <c r="C35" s="441"/>
      <c r="D35" s="253"/>
      <c r="E35" s="253"/>
      <c r="F35" s="360"/>
    </row>
    <row r="36" spans="1:6" ht="15.75">
      <c r="A36" s="359">
        <v>1</v>
      </c>
      <c r="B36" s="358" t="s">
        <v>1015</v>
      </c>
      <c r="C36" s="359" t="s">
        <v>530</v>
      </c>
      <c r="D36" s="263">
        <v>42.3</v>
      </c>
      <c r="E36" s="274"/>
      <c r="F36" s="360"/>
    </row>
    <row r="37" spans="1:6" ht="16.5">
      <c r="A37" s="441"/>
      <c r="B37" s="442" t="s">
        <v>593</v>
      </c>
      <c r="C37" s="441"/>
      <c r="D37" s="253"/>
      <c r="E37" s="253"/>
      <c r="F37" s="360"/>
    </row>
    <row r="38" spans="1:6" ht="31.5">
      <c r="A38" s="400">
        <v>1</v>
      </c>
      <c r="B38" s="358" t="s">
        <v>872</v>
      </c>
      <c r="C38" s="366" t="s">
        <v>586</v>
      </c>
      <c r="D38" s="278">
        <f>D39*2+D42*2</f>
        <v>327.90000000000003</v>
      </c>
      <c r="E38" s="266"/>
      <c r="F38" s="360"/>
    </row>
    <row r="39" spans="1:6" ht="63">
      <c r="A39" s="400">
        <v>2</v>
      </c>
      <c r="B39" s="358" t="s">
        <v>960</v>
      </c>
      <c r="C39" s="366" t="s">
        <v>554</v>
      </c>
      <c r="D39" s="259">
        <v>142.05000000000001</v>
      </c>
      <c r="E39" s="266"/>
      <c r="F39" s="360"/>
    </row>
    <row r="40" spans="1:6" ht="31.5">
      <c r="A40" s="359"/>
      <c r="B40" s="358" t="s">
        <v>1016</v>
      </c>
      <c r="C40" s="359" t="s">
        <v>530</v>
      </c>
      <c r="D40" s="567">
        <f>142.05*0.011</f>
        <v>1.5625500000000001</v>
      </c>
      <c r="E40" s="274"/>
      <c r="F40" s="360"/>
    </row>
    <row r="41" spans="1:6" ht="63">
      <c r="A41" s="400">
        <v>2</v>
      </c>
      <c r="B41" s="358" t="s">
        <v>873</v>
      </c>
      <c r="C41" s="366" t="s">
        <v>554</v>
      </c>
      <c r="D41" s="278">
        <v>24.55</v>
      </c>
      <c r="E41" s="266"/>
      <c r="F41" s="360"/>
    </row>
    <row r="42" spans="1:6" ht="63">
      <c r="A42" s="400">
        <v>2</v>
      </c>
      <c r="B42" s="358" t="s">
        <v>601</v>
      </c>
      <c r="C42" s="366" t="s">
        <v>554</v>
      </c>
      <c r="D42" s="259">
        <v>21.9</v>
      </c>
      <c r="E42" s="266"/>
      <c r="F42" s="360"/>
    </row>
    <row r="43" spans="1:6" ht="31.5">
      <c r="A43" s="359"/>
      <c r="B43" s="358" t="s">
        <v>1016</v>
      </c>
      <c r="C43" s="359" t="s">
        <v>530</v>
      </c>
      <c r="D43" s="363">
        <f>21.9*0.011</f>
        <v>0.24089999999999998</v>
      </c>
      <c r="E43" s="274"/>
      <c r="F43" s="360"/>
    </row>
    <row r="44" spans="1:6" ht="63">
      <c r="A44" s="359">
        <v>3</v>
      </c>
      <c r="B44" s="358" t="s">
        <v>603</v>
      </c>
      <c r="C44" s="359" t="s">
        <v>554</v>
      </c>
      <c r="D44" s="263">
        <f>D42</f>
        <v>21.9</v>
      </c>
      <c r="E44" s="274"/>
      <c r="F44" s="360"/>
    </row>
    <row r="45" spans="1:6" ht="15.75">
      <c r="A45" s="454"/>
      <c r="B45" s="455" t="s">
        <v>604</v>
      </c>
      <c r="C45" s="454"/>
      <c r="D45" s="456"/>
      <c r="E45" s="292"/>
      <c r="F45" s="360"/>
    </row>
    <row r="46" spans="1:6" ht="47.25">
      <c r="A46" s="362">
        <v>1</v>
      </c>
      <c r="B46" s="358" t="s">
        <v>605</v>
      </c>
      <c r="C46" s="359" t="s">
        <v>554</v>
      </c>
      <c r="D46" s="283">
        <v>16.82</v>
      </c>
      <c r="E46" s="274"/>
      <c r="F46" s="360"/>
    </row>
    <row r="47" spans="1:6" ht="47.25">
      <c r="A47" s="359">
        <v>2</v>
      </c>
      <c r="B47" s="358" t="s">
        <v>1100</v>
      </c>
      <c r="C47" s="359" t="s">
        <v>554</v>
      </c>
      <c r="D47" s="263">
        <v>1.98</v>
      </c>
      <c r="E47" s="274"/>
      <c r="F47" s="360"/>
    </row>
    <row r="48" spans="1:6" ht="47.25">
      <c r="A48" s="359">
        <v>3</v>
      </c>
      <c r="B48" s="358" t="s">
        <v>1017</v>
      </c>
      <c r="C48" s="359" t="s">
        <v>554</v>
      </c>
      <c r="D48" s="283">
        <v>1.76</v>
      </c>
      <c r="E48" s="274"/>
      <c r="F48" s="360"/>
    </row>
    <row r="49" spans="1:6" ht="47.25">
      <c r="A49" s="359">
        <v>4</v>
      </c>
      <c r="B49" s="358" t="s">
        <v>1018</v>
      </c>
      <c r="C49" s="359" t="s">
        <v>554</v>
      </c>
      <c r="D49" s="283">
        <v>13.44</v>
      </c>
      <c r="E49" s="274"/>
      <c r="F49" s="360"/>
    </row>
    <row r="50" spans="1:6" ht="47.25">
      <c r="A50" s="359">
        <v>5</v>
      </c>
      <c r="B50" s="358" t="s">
        <v>1101</v>
      </c>
      <c r="C50" s="359" t="s">
        <v>554</v>
      </c>
      <c r="D50" s="263">
        <v>4.2</v>
      </c>
      <c r="E50" s="274"/>
      <c r="F50" s="360"/>
    </row>
    <row r="51" spans="1:6" ht="15.75">
      <c r="A51" s="520">
        <v>6</v>
      </c>
      <c r="B51" s="521" t="s">
        <v>1102</v>
      </c>
      <c r="C51" s="461" t="s">
        <v>554</v>
      </c>
      <c r="D51" s="298">
        <v>2.5</v>
      </c>
      <c r="E51" s="299"/>
      <c r="F51" s="360"/>
    </row>
    <row r="52" spans="1:6" ht="31.5">
      <c r="A52" s="400">
        <v>7</v>
      </c>
      <c r="B52" s="458" t="s">
        <v>1103</v>
      </c>
      <c r="C52" s="366" t="s">
        <v>554</v>
      </c>
      <c r="D52" s="259">
        <f>D51*2</f>
        <v>5</v>
      </c>
      <c r="E52" s="266"/>
      <c r="F52" s="360"/>
    </row>
    <row r="53" spans="1:6" ht="31.5">
      <c r="A53" s="523">
        <v>8</v>
      </c>
      <c r="B53" s="460" t="s">
        <v>967</v>
      </c>
      <c r="C53" s="524" t="s">
        <v>554</v>
      </c>
      <c r="D53" s="303">
        <f>D51*2</f>
        <v>5</v>
      </c>
      <c r="E53" s="304"/>
      <c r="F53" s="360"/>
    </row>
    <row r="54" spans="1:6" ht="15.75">
      <c r="A54" s="520">
        <v>9</v>
      </c>
      <c r="B54" s="521" t="s">
        <v>609</v>
      </c>
      <c r="C54" s="461" t="s">
        <v>554</v>
      </c>
      <c r="D54" s="298">
        <v>0.5</v>
      </c>
      <c r="E54" s="299"/>
      <c r="F54" s="360"/>
    </row>
    <row r="55" spans="1:6" ht="31.5">
      <c r="A55" s="400">
        <v>10</v>
      </c>
      <c r="B55" s="458" t="s">
        <v>610</v>
      </c>
      <c r="C55" s="366" t="s">
        <v>554</v>
      </c>
      <c r="D55" s="259">
        <f>D54*2</f>
        <v>1</v>
      </c>
      <c r="E55" s="266"/>
      <c r="F55" s="360"/>
    </row>
    <row r="56" spans="1:6" ht="31.5">
      <c r="A56" s="523">
        <v>11</v>
      </c>
      <c r="B56" s="460" t="s">
        <v>611</v>
      </c>
      <c r="C56" s="524" t="s">
        <v>554</v>
      </c>
      <c r="D56" s="303">
        <f>D54*2</f>
        <v>1</v>
      </c>
      <c r="E56" s="304"/>
      <c r="F56" s="360"/>
    </row>
    <row r="57" spans="1:6" ht="15.75">
      <c r="A57" s="454"/>
      <c r="B57" s="442" t="s">
        <v>613</v>
      </c>
      <c r="C57" s="454"/>
      <c r="D57" s="457"/>
      <c r="E57" s="292"/>
      <c r="F57" s="360"/>
    </row>
    <row r="58" spans="1:6" ht="15.75">
      <c r="A58" s="400">
        <v>1</v>
      </c>
      <c r="B58" s="458" t="s">
        <v>614</v>
      </c>
      <c r="C58" s="400" t="s">
        <v>554</v>
      </c>
      <c r="D58" s="278">
        <v>240.2</v>
      </c>
      <c r="E58" s="306"/>
      <c r="F58" s="360"/>
    </row>
    <row r="59" spans="1:6" ht="31.5">
      <c r="A59" s="366">
        <v>2</v>
      </c>
      <c r="B59" s="358" t="s">
        <v>615</v>
      </c>
      <c r="C59" s="366" t="s">
        <v>530</v>
      </c>
      <c r="D59" s="278">
        <v>12.5</v>
      </c>
      <c r="E59" s="266"/>
      <c r="F59" s="360"/>
    </row>
    <row r="60" spans="1:6" ht="31.5">
      <c r="A60" s="362">
        <v>3</v>
      </c>
      <c r="B60" s="358" t="s">
        <v>623</v>
      </c>
      <c r="C60" s="359" t="s">
        <v>554</v>
      </c>
      <c r="D60" s="283">
        <v>151.5</v>
      </c>
      <c r="E60" s="274"/>
      <c r="F60" s="360"/>
    </row>
    <row r="61" spans="1:6" ht="31.5">
      <c r="A61" s="459">
        <v>4</v>
      </c>
      <c r="B61" s="460" t="s">
        <v>617</v>
      </c>
      <c r="C61" s="459" t="s">
        <v>554</v>
      </c>
      <c r="D61" s="287">
        <v>12.5</v>
      </c>
      <c r="E61" s="288"/>
      <c r="F61" s="360"/>
    </row>
    <row r="62" spans="1:6" ht="47.25">
      <c r="A62" s="362">
        <v>5</v>
      </c>
      <c r="B62" s="458" t="s">
        <v>618</v>
      </c>
      <c r="C62" s="359" t="s">
        <v>554</v>
      </c>
      <c r="D62" s="283">
        <v>131.5</v>
      </c>
      <c r="E62" s="274"/>
      <c r="F62" s="360"/>
    </row>
    <row r="63" spans="1:6" ht="15.75">
      <c r="A63" s="454"/>
      <c r="B63" s="442" t="s">
        <v>620</v>
      </c>
      <c r="C63" s="454"/>
      <c r="D63" s="457"/>
      <c r="E63" s="292"/>
      <c r="F63" s="360"/>
    </row>
    <row r="64" spans="1:6" ht="15.75">
      <c r="A64" s="400">
        <v>1</v>
      </c>
      <c r="B64" s="358" t="s">
        <v>621</v>
      </c>
      <c r="C64" s="366" t="s">
        <v>554</v>
      </c>
      <c r="D64" s="278">
        <f>251+131</f>
        <v>382</v>
      </c>
      <c r="E64" s="266"/>
      <c r="F64" s="360"/>
    </row>
    <row r="65" spans="1:6" ht="15.75">
      <c r="A65" s="366">
        <v>2</v>
      </c>
      <c r="B65" s="358" t="s">
        <v>968</v>
      </c>
      <c r="C65" s="366" t="s">
        <v>554</v>
      </c>
      <c r="D65" s="278">
        <f>251-46.8</f>
        <v>204.2</v>
      </c>
      <c r="E65" s="266"/>
      <c r="F65" s="360"/>
    </row>
    <row r="66" spans="1:6" ht="15.75">
      <c r="A66" s="400">
        <v>3</v>
      </c>
      <c r="B66" s="358" t="s">
        <v>585</v>
      </c>
      <c r="C66" s="366" t="s">
        <v>554</v>
      </c>
      <c r="D66" s="278">
        <v>251.1</v>
      </c>
      <c r="E66" s="266"/>
      <c r="F66" s="360"/>
    </row>
    <row r="67" spans="1:6" ht="31.5">
      <c r="A67" s="400">
        <v>4</v>
      </c>
      <c r="B67" s="458" t="s">
        <v>969</v>
      </c>
      <c r="C67" s="528" t="s">
        <v>970</v>
      </c>
      <c r="D67" s="278">
        <v>251</v>
      </c>
      <c r="E67" s="306"/>
      <c r="F67" s="360"/>
    </row>
    <row r="68" spans="1:6" ht="31.5">
      <c r="A68" s="400">
        <v>5</v>
      </c>
      <c r="B68" s="358" t="s">
        <v>623</v>
      </c>
      <c r="C68" s="366" t="s">
        <v>554</v>
      </c>
      <c r="D68" s="278">
        <v>251</v>
      </c>
      <c r="E68" s="266"/>
      <c r="F68" s="360"/>
    </row>
    <row r="69" spans="1:6" ht="15.75">
      <c r="A69" s="400">
        <v>6</v>
      </c>
      <c r="B69" s="358" t="s">
        <v>628</v>
      </c>
      <c r="C69" s="366" t="s">
        <v>554</v>
      </c>
      <c r="D69" s="259">
        <v>251.1</v>
      </c>
      <c r="E69" s="266"/>
      <c r="F69" s="360"/>
    </row>
    <row r="70" spans="1:6" ht="15.75">
      <c r="A70" s="454"/>
      <c r="B70" s="442" t="s">
        <v>629</v>
      </c>
      <c r="C70" s="454"/>
      <c r="D70" s="457"/>
      <c r="E70" s="292"/>
      <c r="F70" s="360"/>
    </row>
    <row r="71" spans="1:6" ht="31.5">
      <c r="A71" s="362">
        <v>1</v>
      </c>
      <c r="B71" s="458" t="s">
        <v>632</v>
      </c>
      <c r="C71" s="362" t="s">
        <v>554</v>
      </c>
      <c r="D71" s="283">
        <v>85.8</v>
      </c>
      <c r="E71" s="283"/>
      <c r="F71" s="360"/>
    </row>
    <row r="72" spans="1:6" ht="31.5">
      <c r="A72" s="400">
        <v>2</v>
      </c>
      <c r="B72" s="358" t="s">
        <v>634</v>
      </c>
      <c r="C72" s="366" t="s">
        <v>554</v>
      </c>
      <c r="D72" s="259">
        <v>148</v>
      </c>
      <c r="E72" s="266"/>
      <c r="F72" s="360"/>
    </row>
    <row r="73" spans="1:6" ht="31.5">
      <c r="A73" s="459">
        <v>3</v>
      </c>
      <c r="B73" s="460" t="s">
        <v>635</v>
      </c>
      <c r="C73" s="459" t="s">
        <v>586</v>
      </c>
      <c r="D73" s="287">
        <f>12.5*1.05</f>
        <v>13.125</v>
      </c>
      <c r="E73" s="288"/>
      <c r="F73" s="360"/>
    </row>
    <row r="74" spans="1:6" ht="31.5">
      <c r="A74" s="359">
        <v>4</v>
      </c>
      <c r="B74" s="358" t="s">
        <v>636</v>
      </c>
      <c r="C74" s="359" t="s">
        <v>554</v>
      </c>
      <c r="D74" s="283">
        <f>D73</f>
        <v>13.125</v>
      </c>
      <c r="E74" s="304"/>
      <c r="F74" s="360"/>
    </row>
    <row r="75" spans="1:6" ht="47.25">
      <c r="A75" s="359">
        <v>5</v>
      </c>
      <c r="B75" s="358" t="s">
        <v>637</v>
      </c>
      <c r="C75" s="359" t="s">
        <v>554</v>
      </c>
      <c r="D75" s="263">
        <v>134.9</v>
      </c>
      <c r="E75" s="274"/>
      <c r="F75" s="360"/>
    </row>
    <row r="76" spans="1:6" ht="15.75">
      <c r="A76" s="454"/>
      <c r="B76" s="455" t="s">
        <v>638</v>
      </c>
      <c r="C76" s="454"/>
      <c r="D76" s="456"/>
      <c r="E76" s="292"/>
      <c r="F76" s="360"/>
    </row>
    <row r="77" spans="1:6" ht="63">
      <c r="A77" s="362">
        <v>1</v>
      </c>
      <c r="B77" s="458" t="s">
        <v>879</v>
      </c>
      <c r="C77" s="359" t="s">
        <v>554</v>
      </c>
      <c r="D77" s="263">
        <v>73.400000000000006</v>
      </c>
      <c r="E77" s="274"/>
      <c r="F77" s="360"/>
    </row>
    <row r="78" spans="1:6" ht="47.25">
      <c r="A78" s="359">
        <v>2</v>
      </c>
      <c r="B78" s="358" t="s">
        <v>639</v>
      </c>
      <c r="C78" s="359" t="s">
        <v>554</v>
      </c>
      <c r="D78" s="263">
        <v>33</v>
      </c>
      <c r="E78" s="274"/>
      <c r="F78" s="360"/>
    </row>
    <row r="79" spans="1:6" ht="47.25">
      <c r="A79" s="362">
        <v>3</v>
      </c>
      <c r="B79" s="358" t="s">
        <v>640</v>
      </c>
      <c r="C79" s="359" t="s">
        <v>641</v>
      </c>
      <c r="D79" s="263">
        <v>27</v>
      </c>
      <c r="E79" s="274"/>
      <c r="F79" s="360"/>
    </row>
    <row r="80" spans="1:6" ht="47.25">
      <c r="A80" s="359">
        <v>4</v>
      </c>
      <c r="B80" s="358" t="s">
        <v>642</v>
      </c>
      <c r="C80" s="359" t="s">
        <v>554</v>
      </c>
      <c r="D80" s="263">
        <v>5.6</v>
      </c>
      <c r="E80" s="263"/>
      <c r="F80" s="360"/>
    </row>
    <row r="81" spans="1:6" ht="15.75">
      <c r="A81" s="359"/>
      <c r="B81" s="462" t="s">
        <v>407</v>
      </c>
      <c r="C81" s="359"/>
      <c r="D81" s="263"/>
      <c r="E81" s="359"/>
      <c r="F81" s="372">
        <f>SUM(F10:F80)</f>
        <v>0</v>
      </c>
    </row>
    <row r="82" spans="1:6" ht="54">
      <c r="A82" s="465"/>
      <c r="B82" s="591" t="s">
        <v>1104</v>
      </c>
      <c r="C82" s="467" t="s">
        <v>648</v>
      </c>
      <c r="D82" s="569">
        <v>81.033333333333331</v>
      </c>
      <c r="E82" s="469"/>
      <c r="F82" s="360"/>
    </row>
    <row r="83" spans="1:6" ht="16.5">
      <c r="A83" s="470"/>
      <c r="B83" s="471" t="s">
        <v>398</v>
      </c>
      <c r="C83" s="472"/>
      <c r="D83" s="470"/>
      <c r="E83" s="470"/>
      <c r="F83" s="372">
        <f>F81+F82</f>
        <v>0</v>
      </c>
    </row>
    <row r="87" spans="1:6" ht="36" customHeight="1">
      <c r="A87" s="474"/>
      <c r="B87" s="327" t="s">
        <v>649</v>
      </c>
      <c r="C87" s="327"/>
      <c r="D87" s="327"/>
      <c r="E87" s="327"/>
      <c r="F87" s="327"/>
    </row>
  </sheetData>
  <mergeCells count="12">
    <mergeCell ref="F6:F7"/>
    <mergeCell ref="B87:F87"/>
    <mergeCell ref="A1:F1"/>
    <mergeCell ref="A2:F2"/>
    <mergeCell ref="A3:F3"/>
    <mergeCell ref="A4:F4"/>
    <mergeCell ref="A5:F5"/>
    <mergeCell ref="A6:A7"/>
    <mergeCell ref="B6:B7"/>
    <mergeCell ref="C6:C7"/>
    <mergeCell ref="D6:D7"/>
    <mergeCell ref="E6:E7"/>
  </mergeCells>
  <pageMargins left="0.7" right="0.7" top="0.75" bottom="0.75" header="0.3" footer="0.3"/>
  <pageSetup paperSize="9"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6" width="8.140625" style="409" customWidth="1"/>
    <col min="7" max="16384" width="9.140625" style="344"/>
  </cols>
  <sheetData>
    <row r="1" spans="1:7" s="199" customFormat="1" ht="32.25" customHeight="1">
      <c r="A1" s="231" t="str">
        <f>'N6-1'!A1:F1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1105</v>
      </c>
      <c r="B3" s="330"/>
      <c r="C3" s="330"/>
      <c r="D3" s="330"/>
      <c r="E3" s="330"/>
      <c r="F3" s="330"/>
    </row>
    <row r="4" spans="1:7" s="335" customFormat="1" ht="20.25" customHeight="1">
      <c r="A4" s="377" t="s">
        <v>1106</v>
      </c>
      <c r="B4" s="377"/>
      <c r="C4" s="377"/>
      <c r="D4" s="377"/>
      <c r="E4" s="377"/>
      <c r="F4" s="377"/>
      <c r="G4" s="378"/>
    </row>
    <row r="5" spans="1:7" s="199" customFormat="1" ht="19.5" customHeight="1" thickBot="1">
      <c r="A5" s="379" t="s">
        <v>522</v>
      </c>
      <c r="B5" s="379"/>
      <c r="C5" s="379"/>
      <c r="D5" s="379"/>
      <c r="E5" s="379"/>
      <c r="F5" s="379"/>
      <c r="G5" s="380"/>
    </row>
    <row r="6" spans="1:7" ht="87.6" customHeight="1" thickBot="1">
      <c r="A6" s="381" t="s">
        <v>523</v>
      </c>
      <c r="B6" s="382" t="s">
        <v>524</v>
      </c>
      <c r="C6" s="383" t="s">
        <v>525</v>
      </c>
      <c r="D6" s="384" t="s">
        <v>411</v>
      </c>
      <c r="E6" s="385" t="s">
        <v>526</v>
      </c>
      <c r="F6" s="386" t="s">
        <v>527</v>
      </c>
    </row>
    <row r="7" spans="1:7" ht="16.5" thickBot="1">
      <c r="A7" s="387">
        <v>1</v>
      </c>
      <c r="B7" s="388">
        <v>2</v>
      </c>
      <c r="C7" s="389">
        <v>3</v>
      </c>
      <c r="D7" s="390" t="s">
        <v>488</v>
      </c>
      <c r="E7" s="391" t="s">
        <v>513</v>
      </c>
      <c r="F7" s="392" t="s">
        <v>515</v>
      </c>
    </row>
    <row r="8" spans="1:7" s="397" customFormat="1" ht="51" customHeight="1">
      <c r="A8" s="359">
        <v>1</v>
      </c>
      <c r="B8" s="358" t="s">
        <v>654</v>
      </c>
      <c r="C8" s="359" t="s">
        <v>554</v>
      </c>
      <c r="D8" s="263">
        <v>23.35</v>
      </c>
      <c r="E8" s="274"/>
      <c r="F8" s="360"/>
    </row>
    <row r="9" spans="1:7" s="397" customFormat="1" ht="37.5" customHeight="1">
      <c r="A9" s="359" t="s">
        <v>535</v>
      </c>
      <c r="B9" s="358" t="s">
        <v>655</v>
      </c>
      <c r="C9" s="362" t="s">
        <v>530</v>
      </c>
      <c r="D9" s="363">
        <f>D8*0.03</f>
        <v>0.70050000000000001</v>
      </c>
      <c r="E9" s="274"/>
      <c r="F9" s="360"/>
    </row>
    <row r="10" spans="1:7" s="397" customFormat="1" ht="51.75" customHeight="1">
      <c r="A10" s="359">
        <v>2</v>
      </c>
      <c r="B10" s="358" t="s">
        <v>885</v>
      </c>
      <c r="C10" s="359" t="s">
        <v>554</v>
      </c>
      <c r="D10" s="263">
        <v>22.85</v>
      </c>
      <c r="E10" s="274"/>
      <c r="F10" s="360"/>
    </row>
    <row r="11" spans="1:7" s="398" customFormat="1" ht="31.5">
      <c r="A11" s="359" t="s">
        <v>546</v>
      </c>
      <c r="B11" s="358" t="s">
        <v>655</v>
      </c>
      <c r="C11" s="362" t="s">
        <v>530</v>
      </c>
      <c r="D11" s="363">
        <f>D10*0.03</f>
        <v>0.6855</v>
      </c>
      <c r="E11" s="274"/>
      <c r="F11" s="360"/>
    </row>
    <row r="12" spans="1:7" s="397" customFormat="1" ht="54" customHeight="1">
      <c r="A12" s="359">
        <v>3</v>
      </c>
      <c r="B12" s="358" t="s">
        <v>658</v>
      </c>
      <c r="C12" s="359" t="s">
        <v>554</v>
      </c>
      <c r="D12" s="283">
        <v>1.6</v>
      </c>
      <c r="E12" s="274"/>
      <c r="F12" s="360"/>
    </row>
    <row r="13" spans="1:7" s="398" customFormat="1" ht="52.5" customHeight="1">
      <c r="A13" s="366">
        <v>4</v>
      </c>
      <c r="B13" s="358" t="s">
        <v>659</v>
      </c>
      <c r="C13" s="366" t="s">
        <v>530</v>
      </c>
      <c r="D13" s="278">
        <v>0.45</v>
      </c>
      <c r="E13" s="266"/>
      <c r="F13" s="360"/>
    </row>
    <row r="14" spans="1:7" s="398" customFormat="1" ht="44.25" customHeight="1">
      <c r="A14" s="400">
        <v>5</v>
      </c>
      <c r="B14" s="358" t="s">
        <v>660</v>
      </c>
      <c r="C14" s="366" t="s">
        <v>554</v>
      </c>
      <c r="D14" s="259">
        <v>18.600000000000001</v>
      </c>
      <c r="E14" s="266"/>
      <c r="F14" s="360"/>
    </row>
    <row r="15" spans="1:7" s="398" customFormat="1" ht="35.25" customHeight="1">
      <c r="A15" s="400">
        <v>6</v>
      </c>
      <c r="B15" s="358" t="s">
        <v>661</v>
      </c>
      <c r="C15" s="366" t="s">
        <v>554</v>
      </c>
      <c r="D15" s="259">
        <f>D14</f>
        <v>18.600000000000001</v>
      </c>
      <c r="E15" s="266"/>
      <c r="F15" s="360"/>
    </row>
    <row r="16" spans="1:7" s="398" customFormat="1" ht="20.25" customHeight="1">
      <c r="A16" s="362">
        <v>7</v>
      </c>
      <c r="B16" s="358" t="s">
        <v>662</v>
      </c>
      <c r="C16" s="359" t="s">
        <v>554</v>
      </c>
      <c r="D16" s="263">
        <f>D14</f>
        <v>18.600000000000001</v>
      </c>
      <c r="E16" s="274"/>
      <c r="F16" s="360"/>
    </row>
    <row r="17" spans="1:6" s="398" customFormat="1" ht="20.25" customHeight="1">
      <c r="A17" s="404"/>
      <c r="B17" s="404" t="s">
        <v>407</v>
      </c>
      <c r="C17" s="404"/>
      <c r="D17" s="405"/>
      <c r="E17" s="406"/>
      <c r="F17" s="407">
        <f>SUM(F8:F16)</f>
        <v>0</v>
      </c>
    </row>
    <row r="19" spans="1:6">
      <c r="F19" s="587"/>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3"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154</v>
      </c>
      <c r="B3" s="64"/>
      <c r="C3" s="64"/>
      <c r="D3" s="64"/>
      <c r="E3" s="64"/>
      <c r="F3" s="64"/>
    </row>
    <row r="4" spans="1:6">
      <c r="A4" s="63" t="s">
        <v>48</v>
      </c>
      <c r="B4" s="64"/>
      <c r="C4" s="64"/>
      <c r="D4" s="64"/>
      <c r="E4" s="64"/>
      <c r="F4" s="64"/>
    </row>
    <row r="5" spans="1:6">
      <c r="A5" s="65" t="s">
        <v>153</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2</v>
      </c>
      <c r="E7" s="3"/>
      <c r="F7" s="12"/>
    </row>
    <row r="8" spans="1:6">
      <c r="A8" s="3">
        <v>2</v>
      </c>
      <c r="B8" s="18" t="s">
        <v>113</v>
      </c>
      <c r="C8" s="3" t="s">
        <v>47</v>
      </c>
      <c r="D8" s="3">
        <v>4</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17">
        <v>0.56699999999999995</v>
      </c>
      <c r="E11" s="17"/>
      <c r="F11" s="12"/>
    </row>
    <row r="12" spans="1:6">
      <c r="A12" s="28">
        <v>6</v>
      </c>
      <c r="B12" s="18" t="s">
        <v>123</v>
      </c>
      <c r="C12" s="3" t="s">
        <v>52</v>
      </c>
      <c r="D12" s="17">
        <v>35.4</v>
      </c>
      <c r="E12" s="17"/>
      <c r="F12" s="12"/>
    </row>
    <row r="13" spans="1:6">
      <c r="A13" s="28">
        <v>7</v>
      </c>
      <c r="B13" s="18" t="s">
        <v>130</v>
      </c>
      <c r="C13" s="3" t="s">
        <v>46</v>
      </c>
      <c r="D13" s="17">
        <f>D16*0.78</f>
        <v>6.24</v>
      </c>
      <c r="E13" s="17"/>
      <c r="F13" s="12"/>
    </row>
    <row r="14" spans="1:6">
      <c r="A14" s="28">
        <v>8</v>
      </c>
      <c r="B14" s="18" t="s">
        <v>120</v>
      </c>
      <c r="C14" s="3" t="s">
        <v>119</v>
      </c>
      <c r="D14" s="3">
        <f>101*2+4*4</f>
        <v>218</v>
      </c>
      <c r="E14" s="3"/>
      <c r="F14" s="12"/>
    </row>
    <row r="15" spans="1:6">
      <c r="A15" s="28">
        <v>9</v>
      </c>
      <c r="B15" s="21" t="s">
        <v>121</v>
      </c>
      <c r="C15" s="3" t="s">
        <v>51</v>
      </c>
      <c r="D15" s="3">
        <v>334</v>
      </c>
      <c r="E15" s="3"/>
      <c r="F15" s="12"/>
    </row>
    <row r="16" spans="1:6" ht="30">
      <c r="A16" s="28">
        <v>10</v>
      </c>
      <c r="B16" s="18" t="s">
        <v>122</v>
      </c>
      <c r="C16" s="3" t="s">
        <v>115</v>
      </c>
      <c r="D16" s="3">
        <v>8</v>
      </c>
      <c r="E16" s="3"/>
      <c r="F16" s="12"/>
    </row>
    <row r="17" spans="1:6">
      <c r="A17" s="28">
        <v>11</v>
      </c>
      <c r="B17" s="18" t="s">
        <v>124</v>
      </c>
      <c r="C17" s="3" t="s">
        <v>118</v>
      </c>
      <c r="D17" s="3">
        <f>D11+(D9*2.5)</f>
        <v>1.7669999999999999</v>
      </c>
      <c r="E17" s="3"/>
      <c r="F17" s="12"/>
    </row>
    <row r="18" spans="1:6">
      <c r="A18" s="28">
        <v>12</v>
      </c>
      <c r="B18" s="21" t="s">
        <v>125</v>
      </c>
      <c r="C18" s="3" t="s">
        <v>118</v>
      </c>
      <c r="D18" s="3">
        <f>D17</f>
        <v>1.7669999999999999</v>
      </c>
      <c r="E18" s="3"/>
      <c r="F18" s="12"/>
    </row>
    <row r="19" spans="1:6">
      <c r="A19" s="28">
        <v>13</v>
      </c>
      <c r="B19" s="18" t="s">
        <v>127</v>
      </c>
      <c r="C19" s="3" t="s">
        <v>128</v>
      </c>
      <c r="D19" s="3">
        <v>50</v>
      </c>
      <c r="E19" s="3"/>
      <c r="F19" s="12"/>
    </row>
    <row r="20" spans="1:6">
      <c r="A20" s="28">
        <v>14</v>
      </c>
      <c r="B20" s="18" t="s">
        <v>386</v>
      </c>
      <c r="C20" s="28" t="s">
        <v>118</v>
      </c>
      <c r="D20" s="28">
        <f>D11</f>
        <v>0.56699999999999995</v>
      </c>
      <c r="E20" s="28"/>
      <c r="F20" s="12"/>
    </row>
    <row r="21" spans="1:6">
      <c r="A21" s="28">
        <v>15</v>
      </c>
      <c r="B21" s="18" t="s">
        <v>150</v>
      </c>
      <c r="C21" s="6" t="s">
        <v>51</v>
      </c>
      <c r="D21" s="3">
        <v>2</v>
      </c>
      <c r="E21" s="3"/>
      <c r="F21" s="12"/>
    </row>
    <row r="22" spans="1:6">
      <c r="A22" s="28">
        <v>16</v>
      </c>
      <c r="B22" s="18" t="s">
        <v>129</v>
      </c>
      <c r="C22" s="3" t="s">
        <v>115</v>
      </c>
      <c r="D22" s="3">
        <f>D16</f>
        <v>8</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1"/>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7" s="199" customFormat="1" ht="32.25" customHeight="1">
      <c r="A1" s="231" t="str">
        <f>'N6-2'!A1:F1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1093</v>
      </c>
      <c r="B3" s="330"/>
      <c r="C3" s="330"/>
      <c r="D3" s="330"/>
      <c r="E3" s="330"/>
      <c r="F3" s="330"/>
    </row>
    <row r="4" spans="1:7" s="335" customFormat="1" ht="20.25" customHeight="1">
      <c r="A4" s="377" t="s">
        <v>1107</v>
      </c>
      <c r="B4" s="377"/>
      <c r="C4" s="377"/>
      <c r="D4" s="377"/>
      <c r="E4" s="377"/>
      <c r="F4" s="377"/>
      <c r="G4" s="378"/>
    </row>
    <row r="5" spans="1:7" s="199" customFormat="1" ht="19.5" customHeight="1" thickBot="1">
      <c r="A5" s="379" t="s">
        <v>511</v>
      </c>
      <c r="B5" s="379"/>
      <c r="C5" s="379"/>
      <c r="D5" s="379"/>
      <c r="E5" s="379"/>
      <c r="F5" s="379"/>
      <c r="G5" s="380"/>
    </row>
    <row r="6" spans="1:7" ht="87.6" customHeight="1" thickBot="1">
      <c r="A6" s="381" t="s">
        <v>523</v>
      </c>
      <c r="B6" s="382" t="s">
        <v>524</v>
      </c>
      <c r="C6" s="383" t="s">
        <v>525</v>
      </c>
      <c r="D6" s="384" t="s">
        <v>411</v>
      </c>
      <c r="E6" s="385" t="s">
        <v>526</v>
      </c>
      <c r="F6" s="386" t="s">
        <v>527</v>
      </c>
    </row>
    <row r="7" spans="1:7" ht="16.5" thickBot="1">
      <c r="A7" s="387">
        <v>1</v>
      </c>
      <c r="B7" s="388">
        <v>2</v>
      </c>
      <c r="C7" s="389">
        <v>3</v>
      </c>
      <c r="D7" s="390" t="s">
        <v>488</v>
      </c>
      <c r="E7" s="391" t="s">
        <v>513</v>
      </c>
      <c r="F7" s="392" t="s">
        <v>515</v>
      </c>
    </row>
    <row r="8" spans="1:7" s="397" customFormat="1" ht="120.75" customHeight="1">
      <c r="A8" s="359" t="s">
        <v>535</v>
      </c>
      <c r="B8" s="394" t="s">
        <v>666</v>
      </c>
      <c r="C8" s="393" t="s">
        <v>667</v>
      </c>
      <c r="D8" s="395">
        <v>1</v>
      </c>
      <c r="E8" s="396"/>
      <c r="F8" s="396"/>
    </row>
    <row r="9" spans="1:7" s="397" customFormat="1" ht="53.25" customHeight="1">
      <c r="A9" s="359">
        <v>2</v>
      </c>
      <c r="B9" s="394" t="s">
        <v>1108</v>
      </c>
      <c r="C9" s="393" t="s">
        <v>669</v>
      </c>
      <c r="D9" s="395">
        <v>1</v>
      </c>
      <c r="E9" s="396"/>
      <c r="F9" s="396"/>
    </row>
    <row r="10" spans="1:7" s="398" customFormat="1" ht="76.5">
      <c r="A10" s="359" t="s">
        <v>545</v>
      </c>
      <c r="B10" s="394" t="s">
        <v>670</v>
      </c>
      <c r="C10" s="393" t="s">
        <v>667</v>
      </c>
      <c r="D10" s="395">
        <v>1</v>
      </c>
      <c r="E10" s="396"/>
      <c r="F10" s="396"/>
    </row>
    <row r="11" spans="1:7" s="397" customFormat="1" ht="30.75" customHeight="1">
      <c r="A11" s="359">
        <v>3</v>
      </c>
      <c r="B11" s="394" t="s">
        <v>671</v>
      </c>
      <c r="C11" s="393" t="s">
        <v>669</v>
      </c>
      <c r="D11" s="395">
        <v>1</v>
      </c>
      <c r="E11" s="396"/>
      <c r="F11" s="396"/>
    </row>
    <row r="12" spans="1:7" s="398" customFormat="1" ht="52.5" customHeight="1">
      <c r="A12" s="366">
        <v>4</v>
      </c>
      <c r="B12" s="394" t="s">
        <v>888</v>
      </c>
      <c r="C12" s="393" t="s">
        <v>669</v>
      </c>
      <c r="D12" s="395">
        <v>1</v>
      </c>
      <c r="E12" s="396"/>
      <c r="F12" s="396"/>
    </row>
    <row r="13" spans="1:7" s="398" customFormat="1" ht="22.5" customHeight="1">
      <c r="A13" s="400">
        <v>5</v>
      </c>
      <c r="B13" s="394" t="s">
        <v>673</v>
      </c>
      <c r="C13" s="393" t="s">
        <v>674</v>
      </c>
      <c r="D13" s="395">
        <v>3</v>
      </c>
      <c r="E13" s="396"/>
      <c r="F13" s="396"/>
    </row>
    <row r="14" spans="1:7" s="398" customFormat="1" ht="22.5" customHeight="1">
      <c r="A14" s="400">
        <v>6</v>
      </c>
      <c r="B14" s="394" t="s">
        <v>676</v>
      </c>
      <c r="C14" s="393" t="s">
        <v>667</v>
      </c>
      <c r="D14" s="395">
        <v>2</v>
      </c>
      <c r="E14" s="396"/>
      <c r="F14" s="396"/>
      <c r="G14" s="399"/>
    </row>
    <row r="15" spans="1:7" s="398" customFormat="1" ht="22.5" customHeight="1">
      <c r="A15" s="400">
        <v>7</v>
      </c>
      <c r="B15" s="401" t="s">
        <v>1067</v>
      </c>
      <c r="C15" s="393" t="s">
        <v>667</v>
      </c>
      <c r="D15" s="402">
        <v>1</v>
      </c>
      <c r="E15" s="403"/>
      <c r="F15" s="396"/>
    </row>
    <row r="16" spans="1:7" s="398" customFormat="1" ht="20.25" customHeight="1">
      <c r="A16" s="404"/>
      <c r="B16" s="404" t="s">
        <v>407</v>
      </c>
      <c r="C16" s="404"/>
      <c r="D16" s="405"/>
      <c r="E16" s="406"/>
      <c r="F16" s="407">
        <f>SUM(F8:F15)</f>
        <v>0</v>
      </c>
    </row>
    <row r="18" spans="6:6">
      <c r="F18" s="587"/>
    </row>
    <row r="19" spans="6:6">
      <c r="F19" s="588"/>
    </row>
    <row r="20" spans="6:6">
      <c r="F20" s="589"/>
    </row>
    <row r="21" spans="6:6">
      <c r="F21" s="588"/>
    </row>
  </sheetData>
  <protectedRanges>
    <protectedRange sqref="B8:D8 B10:D10" name="Диапазон1_1_1"/>
  </protectedRanges>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5"/>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7" s="199" customFormat="1" ht="32.25" customHeight="1">
      <c r="A1" s="231" t="str">
        <f>'N6-3'!A1:F1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1093</v>
      </c>
      <c r="B3" s="330"/>
      <c r="C3" s="330"/>
      <c r="D3" s="330"/>
      <c r="E3" s="330"/>
      <c r="F3" s="330"/>
    </row>
    <row r="4" spans="1:7" s="335" customFormat="1" ht="20.25" customHeight="1">
      <c r="A4" s="377" t="s">
        <v>1109</v>
      </c>
      <c r="B4" s="377"/>
      <c r="C4" s="377"/>
      <c r="D4" s="377"/>
      <c r="E4" s="377"/>
      <c r="F4" s="377"/>
      <c r="G4" s="378"/>
    </row>
    <row r="5" spans="1:7" s="199" customFormat="1" ht="19.5" customHeight="1" thickBot="1">
      <c r="A5" s="379" t="s">
        <v>512</v>
      </c>
      <c r="B5" s="379"/>
      <c r="C5" s="379"/>
      <c r="D5" s="379"/>
      <c r="E5" s="379"/>
      <c r="F5" s="379"/>
      <c r="G5" s="380"/>
    </row>
    <row r="6" spans="1:7" ht="87.6" customHeight="1" thickBot="1">
      <c r="A6" s="381" t="s">
        <v>523</v>
      </c>
      <c r="B6" s="382" t="s">
        <v>524</v>
      </c>
      <c r="C6" s="383" t="s">
        <v>525</v>
      </c>
      <c r="D6" s="384" t="s">
        <v>411</v>
      </c>
      <c r="E6" s="385" t="s">
        <v>526</v>
      </c>
      <c r="F6" s="386" t="s">
        <v>527</v>
      </c>
    </row>
    <row r="7" spans="1:7" ht="16.5" thickBot="1">
      <c r="A7" s="387">
        <v>1</v>
      </c>
      <c r="B7" s="388">
        <v>2</v>
      </c>
      <c r="C7" s="389">
        <v>3</v>
      </c>
      <c r="D7" s="390" t="s">
        <v>488</v>
      </c>
      <c r="E7" s="391" t="s">
        <v>513</v>
      </c>
      <c r="F7" s="392" t="s">
        <v>515</v>
      </c>
    </row>
    <row r="8" spans="1:7" s="397" customFormat="1" ht="73.5" customHeight="1">
      <c r="A8" s="393" t="s">
        <v>5</v>
      </c>
      <c r="B8" s="394" t="s">
        <v>679</v>
      </c>
      <c r="C8" s="393" t="s">
        <v>674</v>
      </c>
      <c r="D8" s="395">
        <v>1</v>
      </c>
      <c r="E8" s="396"/>
      <c r="F8" s="396"/>
    </row>
    <row r="9" spans="1:7" s="397" customFormat="1" ht="53.25" customHeight="1">
      <c r="A9" s="393" t="s">
        <v>7</v>
      </c>
      <c r="B9" s="394" t="s">
        <v>680</v>
      </c>
      <c r="C9" s="393" t="s">
        <v>674</v>
      </c>
      <c r="D9" s="395">
        <v>1</v>
      </c>
      <c r="E9" s="396"/>
      <c r="F9" s="396"/>
    </row>
    <row r="10" spans="1:7" s="398" customFormat="1" ht="13.5">
      <c r="A10" s="393" t="s">
        <v>487</v>
      </c>
      <c r="B10" s="394" t="s">
        <v>681</v>
      </c>
      <c r="C10" s="393" t="s">
        <v>674</v>
      </c>
      <c r="D10" s="395">
        <v>25</v>
      </c>
      <c r="E10" s="396"/>
      <c r="F10" s="396"/>
    </row>
    <row r="11" spans="1:7" s="397" customFormat="1" ht="30.75" customHeight="1">
      <c r="A11" s="393" t="s">
        <v>488</v>
      </c>
      <c r="B11" s="394" t="s">
        <v>682</v>
      </c>
      <c r="C11" s="393" t="s">
        <v>674</v>
      </c>
      <c r="D11" s="395">
        <v>25</v>
      </c>
      <c r="E11" s="396"/>
      <c r="F11" s="396"/>
    </row>
    <row r="12" spans="1:7" s="398" customFormat="1" ht="52.5" customHeight="1">
      <c r="A12" s="393" t="s">
        <v>513</v>
      </c>
      <c r="B12" s="394" t="s">
        <v>683</v>
      </c>
      <c r="C12" s="393" t="s">
        <v>674</v>
      </c>
      <c r="D12" s="395">
        <v>1</v>
      </c>
      <c r="E12" s="396"/>
      <c r="F12" s="396"/>
    </row>
    <row r="13" spans="1:7" s="398" customFormat="1" ht="22.5" customHeight="1">
      <c r="A13" s="393" t="s">
        <v>515</v>
      </c>
      <c r="B13" s="394" t="s">
        <v>684</v>
      </c>
      <c r="C13" s="393" t="s">
        <v>674</v>
      </c>
      <c r="D13" s="395">
        <v>1</v>
      </c>
      <c r="E13" s="396"/>
      <c r="F13" s="396"/>
    </row>
    <row r="14" spans="1:7" s="398" customFormat="1" ht="22.5" customHeight="1">
      <c r="A14" s="393" t="s">
        <v>675</v>
      </c>
      <c r="B14" s="394" t="s">
        <v>685</v>
      </c>
      <c r="C14" s="393" t="s">
        <v>674</v>
      </c>
      <c r="D14" s="395">
        <v>15</v>
      </c>
      <c r="E14" s="396"/>
      <c r="F14" s="396"/>
      <c r="G14" s="399"/>
    </row>
    <row r="15" spans="1:7" s="398" customFormat="1" ht="22.5" customHeight="1">
      <c r="A15" s="393" t="s">
        <v>686</v>
      </c>
      <c r="B15" s="394" t="s">
        <v>687</v>
      </c>
      <c r="C15" s="393" t="s">
        <v>674</v>
      </c>
      <c r="D15" s="395">
        <v>2</v>
      </c>
      <c r="E15" s="396"/>
      <c r="F15" s="396"/>
    </row>
    <row r="16" spans="1:7" s="398" customFormat="1" ht="20.25" customHeight="1">
      <c r="A16" s="393" t="s">
        <v>688</v>
      </c>
      <c r="B16" s="394" t="s">
        <v>689</v>
      </c>
      <c r="C16" s="393" t="s">
        <v>674</v>
      </c>
      <c r="D16" s="395">
        <v>3</v>
      </c>
      <c r="E16" s="396"/>
      <c r="F16" s="396"/>
    </row>
    <row r="17" spans="1:6" ht="38.25">
      <c r="A17" s="393" t="s">
        <v>690</v>
      </c>
      <c r="B17" s="394" t="s">
        <v>691</v>
      </c>
      <c r="C17" s="393" t="s">
        <v>674</v>
      </c>
      <c r="D17" s="395">
        <v>4</v>
      </c>
      <c r="E17" s="396"/>
      <c r="F17" s="396"/>
    </row>
    <row r="18" spans="1:6" ht="25.5">
      <c r="A18" s="393" t="s">
        <v>692</v>
      </c>
      <c r="B18" s="394" t="s">
        <v>693</v>
      </c>
      <c r="C18" s="393" t="s">
        <v>674</v>
      </c>
      <c r="D18" s="395">
        <v>4</v>
      </c>
      <c r="E18" s="396"/>
      <c r="F18" s="396"/>
    </row>
    <row r="19" spans="1:6" ht="242.25">
      <c r="A19" s="393" t="s">
        <v>694</v>
      </c>
      <c r="B19" s="394" t="s">
        <v>695</v>
      </c>
      <c r="C19" s="393" t="s">
        <v>667</v>
      </c>
      <c r="D19" s="395">
        <v>3</v>
      </c>
      <c r="E19" s="396"/>
      <c r="F19" s="396"/>
    </row>
    <row r="20" spans="1:6">
      <c r="A20" s="393" t="s">
        <v>696</v>
      </c>
      <c r="B20" s="410" t="s">
        <v>676</v>
      </c>
      <c r="C20" s="393" t="s">
        <v>667</v>
      </c>
      <c r="D20" s="395">
        <v>1</v>
      </c>
      <c r="E20" s="396"/>
      <c r="F20" s="396"/>
    </row>
    <row r="21" spans="1:6" ht="51">
      <c r="A21" s="393" t="s">
        <v>697</v>
      </c>
      <c r="B21" s="394" t="s">
        <v>698</v>
      </c>
      <c r="C21" s="393" t="s">
        <v>667</v>
      </c>
      <c r="D21" s="395">
        <v>1</v>
      </c>
      <c r="E21" s="396"/>
      <c r="F21" s="396"/>
    </row>
    <row r="22" spans="1:6">
      <c r="A22" s="393" t="s">
        <v>699</v>
      </c>
      <c r="B22" s="410" t="s">
        <v>676</v>
      </c>
      <c r="C22" s="393" t="s">
        <v>667</v>
      </c>
      <c r="D22" s="395">
        <v>1</v>
      </c>
      <c r="E22" s="396"/>
      <c r="F22" s="396"/>
    </row>
    <row r="23" spans="1:6" ht="89.25">
      <c r="A23" s="393" t="s">
        <v>700</v>
      </c>
      <c r="B23" s="394" t="s">
        <v>701</v>
      </c>
      <c r="C23" s="393" t="s">
        <v>667</v>
      </c>
      <c r="D23" s="395">
        <v>1</v>
      </c>
      <c r="E23" s="396"/>
      <c r="F23" s="396"/>
    </row>
    <row r="24" spans="1:6" s="398" customFormat="1" ht="22.5" customHeight="1">
      <c r="A24" s="400">
        <v>17</v>
      </c>
      <c r="B24" s="401" t="s">
        <v>702</v>
      </c>
      <c r="C24" s="393" t="s">
        <v>667</v>
      </c>
      <c r="D24" s="402">
        <v>1</v>
      </c>
      <c r="E24" s="403"/>
      <c r="F24" s="396"/>
    </row>
    <row r="25" spans="1:6" s="398" customFormat="1" ht="20.25" customHeight="1">
      <c r="A25" s="404"/>
      <c r="B25" s="404" t="s">
        <v>407</v>
      </c>
      <c r="C25" s="404"/>
      <c r="D25" s="405"/>
      <c r="E25" s="406"/>
      <c r="F25" s="407">
        <f>SUM(F8:F24)</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13"/>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7" s="199" customFormat="1" ht="32.25" customHeight="1">
      <c r="A1" s="231" t="str">
        <f>'N6-4'!A1:F1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1093</v>
      </c>
      <c r="B3" s="330"/>
      <c r="C3" s="330"/>
      <c r="D3" s="330"/>
      <c r="E3" s="330"/>
      <c r="F3" s="330"/>
    </row>
    <row r="4" spans="1:7" s="335" customFormat="1" ht="20.25" customHeight="1">
      <c r="A4" s="377" t="s">
        <v>1110</v>
      </c>
      <c r="B4" s="377"/>
      <c r="C4" s="377"/>
      <c r="D4" s="377"/>
      <c r="E4" s="377"/>
      <c r="F4" s="377"/>
      <c r="G4" s="378"/>
    </row>
    <row r="5" spans="1:7" s="199" customFormat="1" ht="19.5" customHeight="1" thickBot="1">
      <c r="A5" s="379" t="s">
        <v>514</v>
      </c>
      <c r="B5" s="379"/>
      <c r="C5" s="379"/>
      <c r="D5" s="379"/>
      <c r="E5" s="379"/>
      <c r="F5" s="379"/>
      <c r="G5" s="380"/>
    </row>
    <row r="6" spans="1:7" ht="87.6" customHeight="1">
      <c r="A6" s="381" t="s">
        <v>523</v>
      </c>
      <c r="B6" s="382" t="s">
        <v>524</v>
      </c>
      <c r="C6" s="383" t="s">
        <v>525</v>
      </c>
      <c r="D6" s="384" t="s">
        <v>411</v>
      </c>
      <c r="E6" s="385" t="s">
        <v>526</v>
      </c>
      <c r="F6" s="386" t="s">
        <v>527</v>
      </c>
    </row>
    <row r="7" spans="1:7">
      <c r="A7" s="411">
        <v>1</v>
      </c>
      <c r="B7" s="411">
        <v>2</v>
      </c>
      <c r="C7" s="412">
        <v>3</v>
      </c>
      <c r="D7" s="413" t="s">
        <v>488</v>
      </c>
      <c r="E7" s="414" t="s">
        <v>513</v>
      </c>
      <c r="F7" s="413" t="s">
        <v>515</v>
      </c>
    </row>
    <row r="8" spans="1:7" s="397" customFormat="1" ht="28.5" customHeight="1">
      <c r="A8" s="393" t="s">
        <v>5</v>
      </c>
      <c r="B8" s="415" t="s">
        <v>704</v>
      </c>
      <c r="C8" s="416" t="s">
        <v>705</v>
      </c>
      <c r="D8" s="417">
        <v>295</v>
      </c>
      <c r="E8" s="418"/>
      <c r="F8" s="419"/>
    </row>
    <row r="9" spans="1:7" s="397" customFormat="1" ht="21.75" customHeight="1">
      <c r="A9" s="393" t="s">
        <v>7</v>
      </c>
      <c r="B9" s="420" t="s">
        <v>706</v>
      </c>
      <c r="C9" s="393" t="s">
        <v>707</v>
      </c>
      <c r="D9" s="417">
        <v>240</v>
      </c>
      <c r="E9" s="421"/>
      <c r="F9" s="419"/>
    </row>
    <row r="10" spans="1:7" s="398" customFormat="1" ht="42" customHeight="1">
      <c r="A10" s="393" t="s">
        <v>487</v>
      </c>
      <c r="B10" s="420" t="s">
        <v>708</v>
      </c>
      <c r="C10" s="393" t="s">
        <v>709</v>
      </c>
      <c r="D10" s="395">
        <v>55</v>
      </c>
      <c r="E10" s="396"/>
      <c r="F10" s="396"/>
    </row>
    <row r="11" spans="1:7" s="397" customFormat="1" ht="28.5" customHeight="1">
      <c r="A11" s="422">
        <f t="shared" ref="A11:A74" si="0">A10+1</f>
        <v>4</v>
      </c>
      <c r="B11" s="394" t="s">
        <v>1111</v>
      </c>
      <c r="C11" s="393" t="s">
        <v>711</v>
      </c>
      <c r="D11" s="395">
        <v>350</v>
      </c>
      <c r="E11" s="396"/>
      <c r="F11" s="396"/>
    </row>
    <row r="12" spans="1:7" s="397" customFormat="1" ht="21.75" customHeight="1">
      <c r="A12" s="422">
        <f t="shared" si="0"/>
        <v>5</v>
      </c>
      <c r="B12" s="394" t="s">
        <v>1112</v>
      </c>
      <c r="C12" s="393" t="s">
        <v>711</v>
      </c>
      <c r="D12" s="395">
        <v>5</v>
      </c>
      <c r="E12" s="396"/>
      <c r="F12" s="396"/>
    </row>
    <row r="13" spans="1:7" s="398" customFormat="1" ht="21.75" customHeight="1">
      <c r="A13" s="422">
        <f t="shared" si="0"/>
        <v>6</v>
      </c>
      <c r="B13" s="394" t="s">
        <v>1113</v>
      </c>
      <c r="C13" s="393" t="s">
        <v>711</v>
      </c>
      <c r="D13" s="395">
        <v>45</v>
      </c>
      <c r="E13" s="396"/>
      <c r="F13" s="396"/>
    </row>
    <row r="14" spans="1:7" s="397" customFormat="1" ht="21.75" customHeight="1">
      <c r="A14" s="422">
        <f t="shared" si="0"/>
        <v>7</v>
      </c>
      <c r="B14" s="394" t="s">
        <v>1114</v>
      </c>
      <c r="C14" s="393" t="s">
        <v>711</v>
      </c>
      <c r="D14" s="395">
        <v>22</v>
      </c>
      <c r="E14" s="396"/>
      <c r="F14" s="396"/>
    </row>
    <row r="15" spans="1:7" s="398" customFormat="1" ht="21.75" customHeight="1">
      <c r="A15" s="422">
        <f t="shared" si="0"/>
        <v>8</v>
      </c>
      <c r="B15" s="394" t="s">
        <v>1115</v>
      </c>
      <c r="C15" s="393" t="s">
        <v>51</v>
      </c>
      <c r="D15" s="395">
        <v>1</v>
      </c>
      <c r="E15" s="396"/>
      <c r="F15" s="396"/>
    </row>
    <row r="16" spans="1:7" s="398" customFormat="1" ht="21.75" customHeight="1">
      <c r="A16" s="422">
        <f t="shared" si="0"/>
        <v>9</v>
      </c>
      <c r="B16" s="394" t="s">
        <v>1116</v>
      </c>
      <c r="C16" s="393" t="s">
        <v>51</v>
      </c>
      <c r="D16" s="395">
        <v>50</v>
      </c>
      <c r="E16" s="396"/>
      <c r="F16" s="396"/>
    </row>
    <row r="17" spans="1:6" s="398" customFormat="1" ht="21.75" customHeight="1">
      <c r="A17" s="422">
        <f t="shared" si="0"/>
        <v>10</v>
      </c>
      <c r="B17" s="394" t="s">
        <v>1117</v>
      </c>
      <c r="C17" s="393" t="s">
        <v>51</v>
      </c>
      <c r="D17" s="495">
        <v>36.666666666666671</v>
      </c>
      <c r="E17" s="396"/>
      <c r="F17" s="396"/>
    </row>
    <row r="18" spans="1:6" ht="21.75" customHeight="1">
      <c r="A18" s="422">
        <f t="shared" si="0"/>
        <v>11</v>
      </c>
      <c r="B18" s="394" t="s">
        <v>1118</v>
      </c>
      <c r="C18" s="393" t="s">
        <v>711</v>
      </c>
      <c r="D18" s="495">
        <v>5</v>
      </c>
      <c r="E18" s="396"/>
      <c r="F18" s="396"/>
    </row>
    <row r="19" spans="1:6" ht="21.75" customHeight="1">
      <c r="A19" s="422">
        <f t="shared" si="0"/>
        <v>12</v>
      </c>
      <c r="B19" s="394" t="s">
        <v>1119</v>
      </c>
      <c r="C19" s="393" t="s">
        <v>711</v>
      </c>
      <c r="D19" s="395">
        <v>45</v>
      </c>
      <c r="E19" s="396"/>
      <c r="F19" s="396"/>
    </row>
    <row r="20" spans="1:6" ht="21.75" customHeight="1">
      <c r="A20" s="422">
        <f t="shared" si="0"/>
        <v>13</v>
      </c>
      <c r="B20" s="394" t="s">
        <v>1120</v>
      </c>
      <c r="C20" s="393" t="s">
        <v>711</v>
      </c>
      <c r="D20" s="395">
        <v>22</v>
      </c>
      <c r="E20" s="396"/>
      <c r="F20" s="396"/>
    </row>
    <row r="21" spans="1:6" ht="21.75" customHeight="1">
      <c r="A21" s="422">
        <f t="shared" si="0"/>
        <v>14</v>
      </c>
      <c r="B21" s="394" t="s">
        <v>1121</v>
      </c>
      <c r="C21" s="393" t="s">
        <v>711</v>
      </c>
      <c r="D21" s="395">
        <v>25</v>
      </c>
      <c r="E21" s="396"/>
      <c r="F21" s="396"/>
    </row>
    <row r="22" spans="1:6" ht="21.75" customHeight="1">
      <c r="A22" s="422">
        <f t="shared" si="0"/>
        <v>15</v>
      </c>
      <c r="B22" s="394" t="s">
        <v>1122</v>
      </c>
      <c r="C22" s="393" t="s">
        <v>711</v>
      </c>
      <c r="D22" s="395">
        <v>20</v>
      </c>
      <c r="E22" s="396"/>
      <c r="F22" s="396"/>
    </row>
    <row r="23" spans="1:6" ht="21.75" customHeight="1">
      <c r="A23" s="422">
        <f t="shared" si="0"/>
        <v>16</v>
      </c>
      <c r="B23" s="394" t="s">
        <v>1123</v>
      </c>
      <c r="C23" s="393" t="s">
        <v>51</v>
      </c>
      <c r="D23" s="395">
        <v>1</v>
      </c>
      <c r="E23" s="396"/>
      <c r="F23" s="396"/>
    </row>
    <row r="24" spans="1:6" ht="21.75" customHeight="1">
      <c r="A24" s="422">
        <f t="shared" si="0"/>
        <v>17</v>
      </c>
      <c r="B24" s="394" t="s">
        <v>1124</v>
      </c>
      <c r="C24" s="393" t="s">
        <v>51</v>
      </c>
      <c r="D24" s="495">
        <v>41.666666666666671</v>
      </c>
      <c r="E24" s="396"/>
      <c r="F24" s="396"/>
    </row>
    <row r="25" spans="1:6" ht="21.75" customHeight="1">
      <c r="A25" s="422">
        <f t="shared" si="0"/>
        <v>18</v>
      </c>
      <c r="B25" s="394" t="s">
        <v>1125</v>
      </c>
      <c r="C25" s="393" t="s">
        <v>51</v>
      </c>
      <c r="D25" s="495">
        <v>33.333333333333336</v>
      </c>
      <c r="E25" s="396"/>
      <c r="F25" s="396"/>
    </row>
    <row r="26" spans="1:6" ht="21.75" customHeight="1">
      <c r="A26" s="422">
        <f t="shared" si="0"/>
        <v>19</v>
      </c>
      <c r="B26" s="394" t="s">
        <v>1126</v>
      </c>
      <c r="C26" s="393" t="s">
        <v>711</v>
      </c>
      <c r="D26" s="395">
        <v>25</v>
      </c>
      <c r="E26" s="396"/>
      <c r="F26" s="396"/>
    </row>
    <row r="27" spans="1:6" ht="21.75" customHeight="1">
      <c r="A27" s="422">
        <f t="shared" si="0"/>
        <v>20</v>
      </c>
      <c r="B27" s="394" t="s">
        <v>1127</v>
      </c>
      <c r="C27" s="393" t="s">
        <v>711</v>
      </c>
      <c r="D27" s="395">
        <v>20</v>
      </c>
      <c r="E27" s="396"/>
      <c r="F27" s="396"/>
    </row>
    <row r="28" spans="1:6" ht="21.75" customHeight="1">
      <c r="A28" s="422">
        <f t="shared" si="0"/>
        <v>21</v>
      </c>
      <c r="B28" s="394" t="s">
        <v>1128</v>
      </c>
      <c r="C28" s="393" t="s">
        <v>51</v>
      </c>
      <c r="D28" s="395">
        <v>3</v>
      </c>
      <c r="E28" s="396"/>
      <c r="F28" s="396"/>
    </row>
    <row r="29" spans="1:6" ht="21.75" customHeight="1">
      <c r="A29" s="422">
        <f t="shared" si="0"/>
        <v>22</v>
      </c>
      <c r="B29" s="394" t="s">
        <v>1129</v>
      </c>
      <c r="C29" s="393" t="s">
        <v>51</v>
      </c>
      <c r="D29" s="395">
        <v>4</v>
      </c>
      <c r="E29" s="396"/>
      <c r="F29" s="396"/>
    </row>
    <row r="30" spans="1:6" ht="21.75" customHeight="1">
      <c r="A30" s="422">
        <f t="shared" si="0"/>
        <v>23</v>
      </c>
      <c r="B30" s="394" t="s">
        <v>1130</v>
      </c>
      <c r="C30" s="393" t="s">
        <v>51</v>
      </c>
      <c r="D30" s="395">
        <v>20</v>
      </c>
      <c r="E30" s="396"/>
      <c r="F30" s="396"/>
    </row>
    <row r="31" spans="1:6" ht="21.75" customHeight="1">
      <c r="A31" s="422">
        <f t="shared" si="0"/>
        <v>24</v>
      </c>
      <c r="B31" s="394" t="s">
        <v>1131</v>
      </c>
      <c r="C31" s="393" t="s">
        <v>51</v>
      </c>
      <c r="D31" s="395">
        <v>30</v>
      </c>
      <c r="E31" s="396"/>
      <c r="F31" s="396"/>
    </row>
    <row r="32" spans="1:6" ht="21.75" customHeight="1">
      <c r="A32" s="422">
        <f t="shared" si="0"/>
        <v>25</v>
      </c>
      <c r="B32" s="394" t="s">
        <v>1132</v>
      </c>
      <c r="C32" s="393" t="s">
        <v>51</v>
      </c>
      <c r="D32" s="395">
        <v>30</v>
      </c>
      <c r="E32" s="396"/>
      <c r="F32" s="396"/>
    </row>
    <row r="33" spans="1:6" ht="21.75" customHeight="1">
      <c r="A33" s="422">
        <f t="shared" si="0"/>
        <v>26</v>
      </c>
      <c r="B33" s="394" t="s">
        <v>1133</v>
      </c>
      <c r="C33" s="393" t="s">
        <v>51</v>
      </c>
      <c r="D33" s="395">
        <v>4</v>
      </c>
      <c r="E33" s="396"/>
      <c r="F33" s="396"/>
    </row>
    <row r="34" spans="1:6" ht="21.75" customHeight="1">
      <c r="A34" s="422">
        <f t="shared" si="0"/>
        <v>27</v>
      </c>
      <c r="B34" s="394" t="s">
        <v>1134</v>
      </c>
      <c r="C34" s="393" t="s">
        <v>51</v>
      </c>
      <c r="D34" s="395">
        <v>5</v>
      </c>
      <c r="E34" s="396"/>
      <c r="F34" s="396"/>
    </row>
    <row r="35" spans="1:6" ht="21.75" customHeight="1">
      <c r="A35" s="422">
        <f t="shared" si="0"/>
        <v>28</v>
      </c>
      <c r="B35" s="394" t="s">
        <v>1135</v>
      </c>
      <c r="C35" s="393" t="s">
        <v>51</v>
      </c>
      <c r="D35" s="395">
        <v>10</v>
      </c>
      <c r="E35" s="396"/>
      <c r="F35" s="396"/>
    </row>
    <row r="36" spans="1:6" ht="21.75" customHeight="1">
      <c r="A36" s="422">
        <f t="shared" si="0"/>
        <v>29</v>
      </c>
      <c r="B36" s="394" t="s">
        <v>1136</v>
      </c>
      <c r="C36" s="393" t="s">
        <v>51</v>
      </c>
      <c r="D36" s="395">
        <v>10</v>
      </c>
      <c r="E36" s="396"/>
      <c r="F36" s="396"/>
    </row>
    <row r="37" spans="1:6" ht="21.75" customHeight="1">
      <c r="A37" s="422">
        <f t="shared" si="0"/>
        <v>30</v>
      </c>
      <c r="B37" s="394" t="s">
        <v>1137</v>
      </c>
      <c r="C37" s="393" t="s">
        <v>51</v>
      </c>
      <c r="D37" s="395">
        <v>2</v>
      </c>
      <c r="E37" s="396"/>
      <c r="F37" s="396"/>
    </row>
    <row r="38" spans="1:6" ht="21.75" customHeight="1">
      <c r="A38" s="422">
        <f t="shared" si="0"/>
        <v>31</v>
      </c>
      <c r="B38" s="394" t="s">
        <v>1138</v>
      </c>
      <c r="C38" s="393" t="s">
        <v>51</v>
      </c>
      <c r="D38" s="395">
        <v>4</v>
      </c>
      <c r="E38" s="396"/>
      <c r="F38" s="396"/>
    </row>
    <row r="39" spans="1:6" ht="21.75" customHeight="1">
      <c r="A39" s="422">
        <f t="shared" si="0"/>
        <v>32</v>
      </c>
      <c r="B39" s="394" t="s">
        <v>1139</v>
      </c>
      <c r="C39" s="393" t="s">
        <v>51</v>
      </c>
      <c r="D39" s="395">
        <v>15</v>
      </c>
      <c r="E39" s="396"/>
      <c r="F39" s="396"/>
    </row>
    <row r="40" spans="1:6" ht="21.75" customHeight="1">
      <c r="A40" s="422">
        <f t="shared" si="0"/>
        <v>33</v>
      </c>
      <c r="B40" s="394" t="s">
        <v>1140</v>
      </c>
      <c r="C40" s="393" t="s">
        <v>51</v>
      </c>
      <c r="D40" s="395">
        <v>10</v>
      </c>
      <c r="E40" s="396"/>
      <c r="F40" s="396"/>
    </row>
    <row r="41" spans="1:6" ht="21.75" customHeight="1">
      <c r="A41" s="422">
        <f t="shared" si="0"/>
        <v>34</v>
      </c>
      <c r="B41" s="394" t="s">
        <v>1141</v>
      </c>
      <c r="C41" s="393" t="s">
        <v>51</v>
      </c>
      <c r="D41" s="395">
        <v>15</v>
      </c>
      <c r="E41" s="396"/>
      <c r="F41" s="396"/>
    </row>
    <row r="42" spans="1:6" ht="21.75" customHeight="1">
      <c r="A42" s="422">
        <f t="shared" si="0"/>
        <v>35</v>
      </c>
      <c r="B42" s="394" t="s">
        <v>1142</v>
      </c>
      <c r="C42" s="393" t="s">
        <v>51</v>
      </c>
      <c r="D42" s="395">
        <v>4</v>
      </c>
      <c r="E42" s="396"/>
      <c r="F42" s="396"/>
    </row>
    <row r="43" spans="1:6" ht="21.75" customHeight="1">
      <c r="A43" s="422">
        <f t="shared" si="0"/>
        <v>36</v>
      </c>
      <c r="B43" s="394" t="s">
        <v>1143</v>
      </c>
      <c r="C43" s="393" t="s">
        <v>51</v>
      </c>
      <c r="D43" s="395">
        <v>10</v>
      </c>
      <c r="E43" s="396"/>
      <c r="F43" s="396"/>
    </row>
    <row r="44" spans="1:6" ht="21.75" customHeight="1">
      <c r="A44" s="422">
        <f t="shared" si="0"/>
        <v>37</v>
      </c>
      <c r="B44" s="394" t="s">
        <v>1144</v>
      </c>
      <c r="C44" s="393" t="s">
        <v>51</v>
      </c>
      <c r="D44" s="395">
        <v>10</v>
      </c>
      <c r="E44" s="396"/>
      <c r="F44" s="396"/>
    </row>
    <row r="45" spans="1:6" ht="21.75" customHeight="1">
      <c r="A45" s="422">
        <f t="shared" si="0"/>
        <v>38</v>
      </c>
      <c r="B45" s="394" t="s">
        <v>1145</v>
      </c>
      <c r="C45" s="393" t="s">
        <v>51</v>
      </c>
      <c r="D45" s="395">
        <v>20</v>
      </c>
      <c r="E45" s="396"/>
      <c r="F45" s="396"/>
    </row>
    <row r="46" spans="1:6" ht="21.75" customHeight="1">
      <c r="A46" s="422">
        <f t="shared" si="0"/>
        <v>39</v>
      </c>
      <c r="B46" s="394" t="s">
        <v>1146</v>
      </c>
      <c r="C46" s="393" t="s">
        <v>51</v>
      </c>
      <c r="D46" s="395">
        <v>25</v>
      </c>
      <c r="E46" s="396"/>
      <c r="F46" s="396"/>
    </row>
    <row r="47" spans="1:6" ht="21.75" customHeight="1">
      <c r="A47" s="422">
        <f t="shared" si="0"/>
        <v>40</v>
      </c>
      <c r="B47" s="394" t="s">
        <v>747</v>
      </c>
      <c r="C47" s="393" t="s">
        <v>51</v>
      </c>
      <c r="D47" s="395">
        <v>15</v>
      </c>
      <c r="E47" s="396"/>
      <c r="F47" s="396"/>
    </row>
    <row r="48" spans="1:6" ht="21.75" customHeight="1">
      <c r="A48" s="422">
        <f t="shared" si="0"/>
        <v>41</v>
      </c>
      <c r="B48" s="394" t="s">
        <v>748</v>
      </c>
      <c r="C48" s="393" t="s">
        <v>51</v>
      </c>
      <c r="D48" s="395">
        <v>50</v>
      </c>
      <c r="E48" s="396"/>
      <c r="F48" s="396"/>
    </row>
    <row r="49" spans="1:6" ht="21.75" customHeight="1">
      <c r="A49" s="422">
        <f t="shared" si="0"/>
        <v>42</v>
      </c>
      <c r="B49" s="394" t="s">
        <v>749</v>
      </c>
      <c r="C49" s="393" t="s">
        <v>51</v>
      </c>
      <c r="D49" s="395">
        <v>30</v>
      </c>
      <c r="E49" s="396"/>
      <c r="F49" s="396"/>
    </row>
    <row r="50" spans="1:6" ht="21.75" customHeight="1">
      <c r="A50" s="422">
        <f t="shared" si="0"/>
        <v>43</v>
      </c>
      <c r="B50" s="394" t="s">
        <v>750</v>
      </c>
      <c r="C50" s="393" t="s">
        <v>51</v>
      </c>
      <c r="D50" s="395">
        <v>5</v>
      </c>
      <c r="E50" s="396"/>
      <c r="F50" s="396"/>
    </row>
    <row r="51" spans="1:6" ht="21.75" customHeight="1">
      <c r="A51" s="422">
        <f t="shared" si="0"/>
        <v>44</v>
      </c>
      <c r="B51" s="394" t="s">
        <v>751</v>
      </c>
      <c r="C51" s="393" t="s">
        <v>51</v>
      </c>
      <c r="D51" s="395">
        <v>25</v>
      </c>
      <c r="E51" s="396"/>
      <c r="F51" s="396"/>
    </row>
    <row r="52" spans="1:6" ht="21.75" customHeight="1">
      <c r="A52" s="422">
        <f t="shared" si="0"/>
        <v>45</v>
      </c>
      <c r="B52" s="394" t="s">
        <v>752</v>
      </c>
      <c r="C52" s="393" t="s">
        <v>51</v>
      </c>
      <c r="D52" s="395">
        <v>15</v>
      </c>
      <c r="E52" s="396"/>
      <c r="F52" s="396"/>
    </row>
    <row r="53" spans="1:6" ht="21.75" customHeight="1">
      <c r="A53" s="422">
        <f t="shared" si="0"/>
        <v>46</v>
      </c>
      <c r="B53" s="394" t="s">
        <v>1147</v>
      </c>
      <c r="C53" s="393" t="s">
        <v>51</v>
      </c>
      <c r="D53" s="395">
        <v>15</v>
      </c>
      <c r="E53" s="396"/>
      <c r="F53" s="396"/>
    </row>
    <row r="54" spans="1:6" ht="21.75" customHeight="1">
      <c r="A54" s="422">
        <f t="shared" si="0"/>
        <v>47</v>
      </c>
      <c r="B54" s="394" t="s">
        <v>754</v>
      </c>
      <c r="C54" s="393" t="s">
        <v>51</v>
      </c>
      <c r="D54" s="395">
        <v>15</v>
      </c>
      <c r="E54" s="396"/>
      <c r="F54" s="396"/>
    </row>
    <row r="55" spans="1:6" ht="21.75" customHeight="1">
      <c r="A55" s="422">
        <f t="shared" si="0"/>
        <v>48</v>
      </c>
      <c r="B55" s="394" t="s">
        <v>978</v>
      </c>
      <c r="C55" s="393" t="s">
        <v>51</v>
      </c>
      <c r="D55" s="395">
        <v>10</v>
      </c>
      <c r="E55" s="396"/>
      <c r="F55" s="396"/>
    </row>
    <row r="56" spans="1:6" ht="21.75" customHeight="1">
      <c r="A56" s="422">
        <f t="shared" si="0"/>
        <v>49</v>
      </c>
      <c r="B56" s="394" t="s">
        <v>756</v>
      </c>
      <c r="C56" s="393" t="s">
        <v>51</v>
      </c>
      <c r="D56" s="395">
        <v>2</v>
      </c>
      <c r="E56" s="396"/>
      <c r="F56" s="396"/>
    </row>
    <row r="57" spans="1:6" ht="21.75" customHeight="1">
      <c r="A57" s="422">
        <f t="shared" si="0"/>
        <v>50</v>
      </c>
      <c r="B57" s="394" t="s">
        <v>757</v>
      </c>
      <c r="C57" s="393" t="s">
        <v>51</v>
      </c>
      <c r="D57" s="395">
        <v>4</v>
      </c>
      <c r="E57" s="396"/>
      <c r="F57" s="396"/>
    </row>
    <row r="58" spans="1:6" ht="21.75" customHeight="1">
      <c r="A58" s="422">
        <f t="shared" si="0"/>
        <v>51</v>
      </c>
      <c r="B58" s="394" t="s">
        <v>758</v>
      </c>
      <c r="C58" s="393" t="s">
        <v>51</v>
      </c>
      <c r="D58" s="395">
        <v>5</v>
      </c>
      <c r="E58" s="396"/>
      <c r="F58" s="396"/>
    </row>
    <row r="59" spans="1:6" ht="21.75" customHeight="1">
      <c r="A59" s="422">
        <f t="shared" si="0"/>
        <v>52</v>
      </c>
      <c r="B59" s="394" t="s">
        <v>759</v>
      </c>
      <c r="C59" s="393" t="s">
        <v>51</v>
      </c>
      <c r="D59" s="395">
        <v>8</v>
      </c>
      <c r="E59" s="396"/>
      <c r="F59" s="396"/>
    </row>
    <row r="60" spans="1:6" ht="21.75" customHeight="1">
      <c r="A60" s="422">
        <f t="shared" si="0"/>
        <v>53</v>
      </c>
      <c r="B60" s="394" t="s">
        <v>760</v>
      </c>
      <c r="C60" s="393" t="s">
        <v>51</v>
      </c>
      <c r="D60" s="395">
        <v>5</v>
      </c>
      <c r="E60" s="396"/>
      <c r="F60" s="396"/>
    </row>
    <row r="61" spans="1:6" ht="21.75" customHeight="1">
      <c r="A61" s="422">
        <f t="shared" si="0"/>
        <v>54</v>
      </c>
      <c r="B61" s="394" t="s">
        <v>761</v>
      </c>
      <c r="C61" s="393" t="s">
        <v>51</v>
      </c>
      <c r="D61" s="395">
        <v>2</v>
      </c>
      <c r="E61" s="396"/>
      <c r="F61" s="396"/>
    </row>
    <row r="62" spans="1:6" ht="21.75" customHeight="1">
      <c r="A62" s="422">
        <f t="shared" si="0"/>
        <v>55</v>
      </c>
      <c r="B62" s="394" t="s">
        <v>926</v>
      </c>
      <c r="C62" s="393" t="s">
        <v>51</v>
      </c>
      <c r="D62" s="395">
        <v>8</v>
      </c>
      <c r="E62" s="396"/>
      <c r="F62" s="396"/>
    </row>
    <row r="63" spans="1:6" ht="21.75" customHeight="1">
      <c r="A63" s="422">
        <f t="shared" si="0"/>
        <v>56</v>
      </c>
      <c r="B63" s="394" t="s">
        <v>979</v>
      </c>
      <c r="C63" s="393" t="s">
        <v>51</v>
      </c>
      <c r="D63" s="395">
        <v>16</v>
      </c>
      <c r="E63" s="396"/>
      <c r="F63" s="396"/>
    </row>
    <row r="64" spans="1:6" ht="21.75" customHeight="1">
      <c r="A64" s="422">
        <f t="shared" si="0"/>
        <v>57</v>
      </c>
      <c r="B64" s="394" t="s">
        <v>980</v>
      </c>
      <c r="C64" s="393" t="s">
        <v>51</v>
      </c>
      <c r="D64" s="395">
        <v>4</v>
      </c>
      <c r="E64" s="396"/>
      <c r="F64" s="396"/>
    </row>
    <row r="65" spans="1:6" ht="21.75" customHeight="1">
      <c r="A65" s="422">
        <f t="shared" si="0"/>
        <v>58</v>
      </c>
      <c r="B65" s="394" t="s">
        <v>765</v>
      </c>
      <c r="C65" s="393" t="s">
        <v>51</v>
      </c>
      <c r="D65" s="395">
        <v>2</v>
      </c>
      <c r="E65" s="396"/>
      <c r="F65" s="396"/>
    </row>
    <row r="66" spans="1:6" ht="21.75" customHeight="1">
      <c r="A66" s="422">
        <f t="shared" si="0"/>
        <v>59</v>
      </c>
      <c r="B66" s="394" t="s">
        <v>981</v>
      </c>
      <c r="C66" s="393" t="s">
        <v>51</v>
      </c>
      <c r="D66" s="395">
        <v>1</v>
      </c>
      <c r="E66" s="396"/>
      <c r="F66" s="396"/>
    </row>
    <row r="67" spans="1:6" ht="21.75" customHeight="1">
      <c r="A67" s="422">
        <f t="shared" si="0"/>
        <v>60</v>
      </c>
      <c r="B67" s="394" t="s">
        <v>767</v>
      </c>
      <c r="C67" s="393" t="s">
        <v>51</v>
      </c>
      <c r="D67" s="395">
        <v>2</v>
      </c>
      <c r="E67" s="396"/>
      <c r="F67" s="396"/>
    </row>
    <row r="68" spans="1:6" ht="21.75" customHeight="1">
      <c r="A68" s="422">
        <f t="shared" si="0"/>
        <v>61</v>
      </c>
      <c r="B68" s="394" t="s">
        <v>982</v>
      </c>
      <c r="C68" s="393" t="s">
        <v>711</v>
      </c>
      <c r="D68" s="395">
        <v>2.5</v>
      </c>
      <c r="E68" s="396"/>
      <c r="F68" s="396"/>
    </row>
    <row r="69" spans="1:6" ht="21.75" customHeight="1">
      <c r="A69" s="422">
        <f t="shared" si="0"/>
        <v>62</v>
      </c>
      <c r="B69" s="394" t="s">
        <v>769</v>
      </c>
      <c r="C69" s="393" t="s">
        <v>51</v>
      </c>
      <c r="D69" s="395">
        <v>3</v>
      </c>
      <c r="E69" s="396"/>
      <c r="F69" s="396"/>
    </row>
    <row r="70" spans="1:6" ht="21.75" customHeight="1">
      <c r="A70" s="422">
        <f t="shared" si="0"/>
        <v>63</v>
      </c>
      <c r="B70" s="394" t="s">
        <v>770</v>
      </c>
      <c r="C70" s="393" t="s">
        <v>771</v>
      </c>
      <c r="D70" s="395">
        <v>3</v>
      </c>
      <c r="E70" s="396"/>
      <c r="F70" s="396"/>
    </row>
    <row r="71" spans="1:6" ht="21.75" customHeight="1">
      <c r="A71" s="422">
        <f t="shared" si="0"/>
        <v>64</v>
      </c>
      <c r="B71" s="394" t="s">
        <v>772</v>
      </c>
      <c r="C71" s="393" t="s">
        <v>771</v>
      </c>
      <c r="D71" s="395">
        <v>3</v>
      </c>
      <c r="E71" s="396"/>
      <c r="F71" s="396"/>
    </row>
    <row r="72" spans="1:6" ht="21.75" customHeight="1">
      <c r="A72" s="422">
        <f t="shared" si="0"/>
        <v>65</v>
      </c>
      <c r="B72" s="394" t="s">
        <v>773</v>
      </c>
      <c r="C72" s="393" t="s">
        <v>51</v>
      </c>
      <c r="D72" s="395">
        <v>3</v>
      </c>
      <c r="E72" s="396"/>
      <c r="F72" s="396"/>
    </row>
    <row r="73" spans="1:6" ht="21.75" customHeight="1">
      <c r="A73" s="422">
        <f t="shared" si="0"/>
        <v>66</v>
      </c>
      <c r="B73" s="394" t="s">
        <v>774</v>
      </c>
      <c r="C73" s="393" t="s">
        <v>771</v>
      </c>
      <c r="D73" s="395">
        <v>3</v>
      </c>
      <c r="E73" s="396"/>
      <c r="F73" s="396"/>
    </row>
    <row r="74" spans="1:6" ht="21.75" customHeight="1">
      <c r="A74" s="422">
        <f t="shared" si="0"/>
        <v>67</v>
      </c>
      <c r="B74" s="394" t="s">
        <v>775</v>
      </c>
      <c r="C74" s="393" t="s">
        <v>771</v>
      </c>
      <c r="D74" s="395">
        <v>3</v>
      </c>
      <c r="E74" s="396"/>
      <c r="F74" s="396"/>
    </row>
    <row r="75" spans="1:6" ht="21.75" customHeight="1">
      <c r="A75" s="422">
        <f t="shared" ref="A75:A112" si="1">A74+1</f>
        <v>68</v>
      </c>
      <c r="B75" s="394" t="s">
        <v>776</v>
      </c>
      <c r="C75" s="393" t="s">
        <v>51</v>
      </c>
      <c r="D75" s="395">
        <v>3</v>
      </c>
      <c r="E75" s="396"/>
      <c r="F75" s="396"/>
    </row>
    <row r="76" spans="1:6" ht="21.75" customHeight="1">
      <c r="A76" s="422">
        <f t="shared" si="1"/>
        <v>69</v>
      </c>
      <c r="B76" s="394" t="s">
        <v>777</v>
      </c>
      <c r="C76" s="393" t="s">
        <v>771</v>
      </c>
      <c r="D76" s="395">
        <v>3</v>
      </c>
      <c r="E76" s="396"/>
      <c r="F76" s="396"/>
    </row>
    <row r="77" spans="1:6" ht="21.75" customHeight="1">
      <c r="A77" s="422">
        <f t="shared" si="1"/>
        <v>70</v>
      </c>
      <c r="B77" s="394" t="s">
        <v>778</v>
      </c>
      <c r="C77" s="393" t="s">
        <v>771</v>
      </c>
      <c r="D77" s="395">
        <v>3</v>
      </c>
      <c r="E77" s="396"/>
      <c r="F77" s="396"/>
    </row>
    <row r="78" spans="1:6" ht="21.75" customHeight="1">
      <c r="A78" s="422">
        <f t="shared" si="1"/>
        <v>71</v>
      </c>
      <c r="B78" s="394" t="s">
        <v>779</v>
      </c>
      <c r="C78" s="393" t="s">
        <v>51</v>
      </c>
      <c r="D78" s="395">
        <v>3</v>
      </c>
      <c r="E78" s="396"/>
      <c r="F78" s="396"/>
    </row>
    <row r="79" spans="1:6" ht="21.75" customHeight="1">
      <c r="A79" s="422">
        <f t="shared" si="1"/>
        <v>72</v>
      </c>
      <c r="B79" s="394" t="s">
        <v>780</v>
      </c>
      <c r="C79" s="393" t="s">
        <v>771</v>
      </c>
      <c r="D79" s="395">
        <v>3</v>
      </c>
      <c r="E79" s="396"/>
      <c r="F79" s="396"/>
    </row>
    <row r="80" spans="1:6" ht="21.75" customHeight="1">
      <c r="A80" s="422">
        <f t="shared" si="1"/>
        <v>73</v>
      </c>
      <c r="B80" s="394" t="s">
        <v>781</v>
      </c>
      <c r="C80" s="393" t="s">
        <v>51</v>
      </c>
      <c r="D80" s="395">
        <v>3</v>
      </c>
      <c r="E80" s="396"/>
      <c r="F80" s="396"/>
    </row>
    <row r="81" spans="1:6" ht="21.75" customHeight="1">
      <c r="A81" s="422">
        <f t="shared" si="1"/>
        <v>74</v>
      </c>
      <c r="B81" s="394" t="s">
        <v>782</v>
      </c>
      <c r="C81" s="393" t="s">
        <v>771</v>
      </c>
      <c r="D81" s="395">
        <v>3</v>
      </c>
      <c r="E81" s="396"/>
      <c r="F81" s="396"/>
    </row>
    <row r="82" spans="1:6" ht="21.75" customHeight="1">
      <c r="A82" s="422">
        <f t="shared" si="1"/>
        <v>75</v>
      </c>
      <c r="B82" s="394" t="s">
        <v>783</v>
      </c>
      <c r="C82" s="393" t="s">
        <v>51</v>
      </c>
      <c r="D82" s="395">
        <v>7</v>
      </c>
      <c r="E82" s="396"/>
      <c r="F82" s="396"/>
    </row>
    <row r="83" spans="1:6" ht="21.75" customHeight="1">
      <c r="A83" s="422">
        <f t="shared" si="1"/>
        <v>76</v>
      </c>
      <c r="B83" s="394" t="s">
        <v>784</v>
      </c>
      <c r="C83" s="393" t="s">
        <v>51</v>
      </c>
      <c r="D83" s="395">
        <v>1</v>
      </c>
      <c r="E83" s="396"/>
      <c r="F83" s="396"/>
    </row>
    <row r="84" spans="1:6" ht="21.75" customHeight="1">
      <c r="A84" s="422">
        <f t="shared" si="1"/>
        <v>77</v>
      </c>
      <c r="B84" s="394" t="s">
        <v>785</v>
      </c>
      <c r="C84" s="393" t="s">
        <v>51</v>
      </c>
      <c r="D84" s="395">
        <v>1</v>
      </c>
      <c r="E84" s="396"/>
      <c r="F84" s="396"/>
    </row>
    <row r="85" spans="1:6" ht="21.75" customHeight="1">
      <c r="A85" s="422">
        <f t="shared" si="1"/>
        <v>78</v>
      </c>
      <c r="B85" s="394" t="s">
        <v>786</v>
      </c>
      <c r="C85" s="393" t="s">
        <v>51</v>
      </c>
      <c r="D85" s="395">
        <v>1</v>
      </c>
      <c r="E85" s="396"/>
      <c r="F85" s="396"/>
    </row>
    <row r="86" spans="1:6" ht="21.75" customHeight="1">
      <c r="A86" s="422">
        <f t="shared" si="1"/>
        <v>79</v>
      </c>
      <c r="B86" s="394" t="s">
        <v>787</v>
      </c>
      <c r="C86" s="393" t="s">
        <v>771</v>
      </c>
      <c r="D86" s="395">
        <v>1</v>
      </c>
      <c r="E86" s="396"/>
      <c r="F86" s="396"/>
    </row>
    <row r="87" spans="1:6" ht="21.75" customHeight="1">
      <c r="A87" s="422">
        <f t="shared" si="1"/>
        <v>80</v>
      </c>
      <c r="B87" s="394" t="s">
        <v>788</v>
      </c>
      <c r="C87" s="393" t="s">
        <v>51</v>
      </c>
      <c r="D87" s="395">
        <v>1</v>
      </c>
      <c r="E87" s="396"/>
      <c r="F87" s="396"/>
    </row>
    <row r="88" spans="1:6" ht="21.75" customHeight="1">
      <c r="A88" s="422">
        <f t="shared" si="1"/>
        <v>81</v>
      </c>
      <c r="B88" s="394" t="s">
        <v>789</v>
      </c>
      <c r="C88" s="393" t="s">
        <v>51</v>
      </c>
      <c r="D88" s="395">
        <v>7</v>
      </c>
      <c r="E88" s="396"/>
      <c r="F88" s="396"/>
    </row>
    <row r="89" spans="1:6" ht="21.75" customHeight="1">
      <c r="A89" s="422">
        <f t="shared" si="1"/>
        <v>82</v>
      </c>
      <c r="B89" s="394" t="s">
        <v>790</v>
      </c>
      <c r="C89" s="393" t="s">
        <v>711</v>
      </c>
      <c r="D89" s="395">
        <v>20</v>
      </c>
      <c r="E89" s="396"/>
      <c r="F89" s="396"/>
    </row>
    <row r="90" spans="1:6" ht="21.75" customHeight="1">
      <c r="A90" s="422">
        <f t="shared" si="1"/>
        <v>83</v>
      </c>
      <c r="B90" s="394" t="s">
        <v>791</v>
      </c>
      <c r="C90" s="393" t="s">
        <v>771</v>
      </c>
      <c r="D90" s="395">
        <v>1</v>
      </c>
      <c r="E90" s="396"/>
      <c r="F90" s="396"/>
    </row>
    <row r="91" spans="1:6" ht="21.75" customHeight="1">
      <c r="A91" s="422">
        <f t="shared" si="1"/>
        <v>84</v>
      </c>
      <c r="B91" s="394" t="s">
        <v>792</v>
      </c>
      <c r="C91" s="393" t="s">
        <v>771</v>
      </c>
      <c r="D91" s="395">
        <v>1</v>
      </c>
      <c r="E91" s="396"/>
      <c r="F91" s="396"/>
    </row>
    <row r="92" spans="1:6" ht="30" customHeight="1">
      <c r="A92" s="422">
        <f t="shared" si="1"/>
        <v>85</v>
      </c>
      <c r="B92" s="394" t="s">
        <v>793</v>
      </c>
      <c r="C92" s="393" t="s">
        <v>794</v>
      </c>
      <c r="D92" s="395">
        <v>1</v>
      </c>
      <c r="E92" s="396"/>
      <c r="F92" s="396"/>
    </row>
    <row r="93" spans="1:6" ht="21.75" customHeight="1">
      <c r="A93" s="422">
        <f t="shared" si="1"/>
        <v>86</v>
      </c>
      <c r="B93" s="394" t="s">
        <v>795</v>
      </c>
      <c r="C93" s="393" t="s">
        <v>51</v>
      </c>
      <c r="D93" s="395">
        <v>2</v>
      </c>
      <c r="E93" s="396"/>
      <c r="F93" s="396"/>
    </row>
    <row r="94" spans="1:6" ht="21.75" customHeight="1">
      <c r="A94" s="422">
        <f t="shared" si="1"/>
        <v>87</v>
      </c>
      <c r="B94" s="394" t="s">
        <v>796</v>
      </c>
      <c r="C94" s="393" t="s">
        <v>771</v>
      </c>
      <c r="D94" s="395">
        <v>2</v>
      </c>
      <c r="E94" s="396"/>
      <c r="F94" s="396"/>
    </row>
    <row r="95" spans="1:6" ht="21.75" customHeight="1">
      <c r="A95" s="422">
        <f t="shared" si="1"/>
        <v>88</v>
      </c>
      <c r="B95" s="394" t="s">
        <v>797</v>
      </c>
      <c r="C95" s="393" t="s">
        <v>771</v>
      </c>
      <c r="D95" s="395">
        <v>1</v>
      </c>
      <c r="E95" s="396"/>
      <c r="F95" s="396"/>
    </row>
    <row r="96" spans="1:6" ht="21.75" customHeight="1">
      <c r="A96" s="422">
        <f t="shared" si="1"/>
        <v>89</v>
      </c>
      <c r="B96" s="394" t="s">
        <v>798</v>
      </c>
      <c r="C96" s="393" t="s">
        <v>51</v>
      </c>
      <c r="D96" s="395">
        <v>2</v>
      </c>
      <c r="E96" s="396"/>
      <c r="F96" s="396"/>
    </row>
    <row r="97" spans="1:6" ht="21.75" customHeight="1">
      <c r="A97" s="422">
        <f t="shared" si="1"/>
        <v>90</v>
      </c>
      <c r="B97" s="394" t="s">
        <v>983</v>
      </c>
      <c r="C97" s="393" t="s">
        <v>51</v>
      </c>
      <c r="D97" s="395">
        <v>1</v>
      </c>
      <c r="E97" s="396"/>
      <c r="F97" s="396"/>
    </row>
    <row r="98" spans="1:6" ht="21.75" customHeight="1">
      <c r="A98" s="422">
        <f t="shared" si="1"/>
        <v>91</v>
      </c>
      <c r="B98" s="394" t="s">
        <v>984</v>
      </c>
      <c r="C98" s="393" t="s">
        <v>51</v>
      </c>
      <c r="D98" s="395">
        <v>1</v>
      </c>
      <c r="E98" s="396"/>
      <c r="F98" s="396"/>
    </row>
    <row r="99" spans="1:6" ht="21.75" customHeight="1">
      <c r="A99" s="422">
        <f t="shared" si="1"/>
        <v>92</v>
      </c>
      <c r="B99" s="394" t="s">
        <v>801</v>
      </c>
      <c r="C99" s="393" t="s">
        <v>771</v>
      </c>
      <c r="D99" s="395">
        <v>2</v>
      </c>
      <c r="E99" s="396"/>
      <c r="F99" s="396"/>
    </row>
    <row r="100" spans="1:6" ht="21.75" customHeight="1">
      <c r="A100" s="422">
        <f t="shared" si="1"/>
        <v>93</v>
      </c>
      <c r="B100" s="394" t="s">
        <v>1034</v>
      </c>
      <c r="C100" s="393" t="s">
        <v>51</v>
      </c>
      <c r="D100" s="395">
        <v>3</v>
      </c>
      <c r="E100" s="396"/>
      <c r="F100" s="396"/>
    </row>
    <row r="101" spans="1:6" ht="21.75" customHeight="1">
      <c r="A101" s="422">
        <f t="shared" si="1"/>
        <v>94</v>
      </c>
      <c r="B101" s="394" t="s">
        <v>1035</v>
      </c>
      <c r="C101" s="393" t="s">
        <v>51</v>
      </c>
      <c r="D101" s="395">
        <v>1</v>
      </c>
      <c r="E101" s="396"/>
      <c r="F101" s="396"/>
    </row>
    <row r="102" spans="1:6" ht="21.75" customHeight="1">
      <c r="A102" s="422">
        <f t="shared" si="1"/>
        <v>95</v>
      </c>
      <c r="B102" s="394" t="s">
        <v>1036</v>
      </c>
      <c r="C102" s="393" t="s">
        <v>51</v>
      </c>
      <c r="D102" s="395">
        <v>1</v>
      </c>
      <c r="E102" s="396"/>
      <c r="F102" s="396"/>
    </row>
    <row r="103" spans="1:6" ht="21.75" customHeight="1">
      <c r="A103" s="422">
        <f t="shared" si="1"/>
        <v>96</v>
      </c>
      <c r="B103" s="394" t="s">
        <v>805</v>
      </c>
      <c r="C103" s="393" t="s">
        <v>51</v>
      </c>
      <c r="D103" s="395">
        <v>2</v>
      </c>
      <c r="E103" s="396"/>
      <c r="F103" s="396"/>
    </row>
    <row r="104" spans="1:6" ht="21.75" customHeight="1">
      <c r="A104" s="422">
        <f t="shared" si="1"/>
        <v>97</v>
      </c>
      <c r="B104" s="394" t="s">
        <v>806</v>
      </c>
      <c r="C104" s="393" t="s">
        <v>771</v>
      </c>
      <c r="D104" s="395">
        <v>2</v>
      </c>
      <c r="E104" s="396"/>
      <c r="F104" s="396"/>
    </row>
    <row r="105" spans="1:6" ht="21.75" customHeight="1">
      <c r="A105" s="422">
        <f t="shared" si="1"/>
        <v>98</v>
      </c>
      <c r="B105" s="394" t="s">
        <v>807</v>
      </c>
      <c r="C105" s="393" t="s">
        <v>51</v>
      </c>
      <c r="D105" s="395">
        <v>1</v>
      </c>
      <c r="E105" s="396"/>
      <c r="F105" s="396"/>
    </row>
    <row r="106" spans="1:6" s="398" customFormat="1" ht="22.5" customHeight="1">
      <c r="A106" s="422">
        <f t="shared" si="1"/>
        <v>99</v>
      </c>
      <c r="B106" s="394" t="s">
        <v>808</v>
      </c>
      <c r="C106" s="393" t="s">
        <v>771</v>
      </c>
      <c r="D106" s="395">
        <v>1</v>
      </c>
      <c r="E106" s="396"/>
      <c r="F106" s="396"/>
    </row>
    <row r="107" spans="1:6" s="398" customFormat="1" ht="20.25" customHeight="1">
      <c r="A107" s="422">
        <f t="shared" si="1"/>
        <v>100</v>
      </c>
      <c r="B107" s="394" t="s">
        <v>809</v>
      </c>
      <c r="C107" s="393" t="s">
        <v>771</v>
      </c>
      <c r="D107" s="395">
        <v>1</v>
      </c>
      <c r="E107" s="396"/>
      <c r="F107" s="396"/>
    </row>
    <row r="108" spans="1:6">
      <c r="A108" s="422">
        <f t="shared" si="1"/>
        <v>101</v>
      </c>
      <c r="B108" s="394" t="s">
        <v>1037</v>
      </c>
      <c r="C108" s="393" t="s">
        <v>51</v>
      </c>
      <c r="D108" s="395">
        <v>3</v>
      </c>
      <c r="E108" s="396"/>
      <c r="F108" s="396"/>
    </row>
    <row r="109" spans="1:6">
      <c r="A109" s="422">
        <f t="shared" si="1"/>
        <v>102</v>
      </c>
      <c r="B109" s="394" t="s">
        <v>811</v>
      </c>
      <c r="C109" s="393" t="s">
        <v>51</v>
      </c>
      <c r="D109" s="395">
        <v>5</v>
      </c>
      <c r="E109" s="396"/>
      <c r="F109" s="396"/>
    </row>
    <row r="110" spans="1:6">
      <c r="A110" s="422">
        <f t="shared" si="1"/>
        <v>103</v>
      </c>
      <c r="B110" s="394" t="s">
        <v>812</v>
      </c>
      <c r="C110" s="393" t="s">
        <v>813</v>
      </c>
      <c r="D110" s="395">
        <v>1</v>
      </c>
      <c r="E110" s="396"/>
      <c r="F110" s="396"/>
    </row>
    <row r="111" spans="1:6">
      <c r="A111" s="422">
        <f t="shared" si="1"/>
        <v>104</v>
      </c>
      <c r="B111" s="394" t="s">
        <v>814</v>
      </c>
      <c r="C111" s="393" t="s">
        <v>771</v>
      </c>
      <c r="D111" s="395">
        <v>1</v>
      </c>
      <c r="E111" s="396"/>
      <c r="F111" s="396"/>
    </row>
    <row r="112" spans="1:6" s="398" customFormat="1" ht="22.5" customHeight="1">
      <c r="A112" s="422">
        <f t="shared" si="1"/>
        <v>105</v>
      </c>
      <c r="B112" s="401" t="s">
        <v>702</v>
      </c>
      <c r="C112" s="393" t="s">
        <v>667</v>
      </c>
      <c r="D112" s="402">
        <v>1</v>
      </c>
      <c r="E112" s="403"/>
      <c r="F112" s="396"/>
    </row>
    <row r="113" spans="1:6" s="398" customFormat="1" ht="20.25" customHeight="1">
      <c r="A113" s="404"/>
      <c r="B113" s="404" t="s">
        <v>407</v>
      </c>
      <c r="C113" s="404"/>
      <c r="D113" s="405"/>
      <c r="E113" s="406"/>
      <c r="F113" s="407">
        <f>SUM(F8:F112)</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7"/>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7" s="199" customFormat="1" ht="32.25" customHeight="1">
      <c r="A1" s="231" t="str">
        <f>'N6-5'!A1:F1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1093</v>
      </c>
      <c r="B3" s="330"/>
      <c r="C3" s="330"/>
      <c r="D3" s="330"/>
      <c r="E3" s="330"/>
      <c r="F3" s="330"/>
    </row>
    <row r="4" spans="1:7" s="335" customFormat="1" ht="20.25" customHeight="1">
      <c r="A4" s="377" t="s">
        <v>1148</v>
      </c>
      <c r="B4" s="377"/>
      <c r="C4" s="377"/>
      <c r="D4" s="377"/>
      <c r="E4" s="377"/>
      <c r="F4" s="377"/>
      <c r="G4" s="378"/>
    </row>
    <row r="5" spans="1:7" s="199" customFormat="1" ht="19.5" customHeight="1" thickBot="1">
      <c r="A5" s="379" t="s">
        <v>516</v>
      </c>
      <c r="B5" s="379"/>
      <c r="C5" s="379"/>
      <c r="D5" s="379"/>
      <c r="E5" s="379"/>
      <c r="F5" s="379"/>
      <c r="G5" s="380"/>
    </row>
    <row r="6" spans="1:7" ht="87.6" customHeight="1">
      <c r="A6" s="381" t="s">
        <v>523</v>
      </c>
      <c r="B6" s="382" t="s">
        <v>524</v>
      </c>
      <c r="C6" s="383" t="s">
        <v>525</v>
      </c>
      <c r="D6" s="384" t="s">
        <v>411</v>
      </c>
      <c r="E6" s="385" t="s">
        <v>526</v>
      </c>
      <c r="F6" s="386" t="s">
        <v>527</v>
      </c>
    </row>
    <row r="7" spans="1:7">
      <c r="A7" s="411">
        <v>1</v>
      </c>
      <c r="B7" s="411">
        <v>2</v>
      </c>
      <c r="C7" s="412">
        <v>3</v>
      </c>
      <c r="D7" s="413" t="s">
        <v>488</v>
      </c>
      <c r="E7" s="414" t="s">
        <v>513</v>
      </c>
      <c r="F7" s="413" t="s">
        <v>515</v>
      </c>
    </row>
    <row r="8" spans="1:7" s="397" customFormat="1" ht="18.75" customHeight="1">
      <c r="A8" s="393" t="s">
        <v>5</v>
      </c>
      <c r="B8" s="394" t="s">
        <v>816</v>
      </c>
      <c r="C8" s="393" t="s">
        <v>667</v>
      </c>
      <c r="D8" s="395">
        <v>1</v>
      </c>
      <c r="E8" s="396"/>
      <c r="F8" s="396"/>
    </row>
    <row r="9" spans="1:7" s="397" customFormat="1" ht="18.75" customHeight="1">
      <c r="A9" s="393" t="s">
        <v>7</v>
      </c>
      <c r="B9" s="394" t="s">
        <v>676</v>
      </c>
      <c r="C9" s="393" t="s">
        <v>667</v>
      </c>
      <c r="D9" s="395">
        <v>1</v>
      </c>
      <c r="E9" s="396"/>
      <c r="F9" s="396"/>
    </row>
    <row r="10" spans="1:7" s="398" customFormat="1" ht="18.75" customHeight="1">
      <c r="A10" s="393" t="s">
        <v>487</v>
      </c>
      <c r="B10" s="394" t="s">
        <v>817</v>
      </c>
      <c r="C10" s="393" t="s">
        <v>667</v>
      </c>
      <c r="D10" s="395">
        <v>10</v>
      </c>
      <c r="E10" s="396"/>
      <c r="F10" s="396"/>
    </row>
    <row r="11" spans="1:7" s="397" customFormat="1" ht="42" customHeight="1">
      <c r="A11" s="422">
        <f t="shared" ref="A11:A26" si="0">A10+1</f>
        <v>4</v>
      </c>
      <c r="B11" s="394" t="s">
        <v>818</v>
      </c>
      <c r="C11" s="393" t="s">
        <v>667</v>
      </c>
      <c r="D11" s="395">
        <v>10</v>
      </c>
      <c r="E11" s="396"/>
      <c r="F11" s="396"/>
    </row>
    <row r="12" spans="1:7" s="397" customFormat="1" ht="31.5" customHeight="1">
      <c r="A12" s="422">
        <f t="shared" si="0"/>
        <v>5</v>
      </c>
      <c r="B12" s="394" t="s">
        <v>819</v>
      </c>
      <c r="C12" s="393" t="s">
        <v>667</v>
      </c>
      <c r="D12" s="395">
        <v>1</v>
      </c>
      <c r="E12" s="396"/>
      <c r="F12" s="396"/>
    </row>
    <row r="13" spans="1:7" s="398" customFormat="1" ht="31.5" customHeight="1">
      <c r="A13" s="422">
        <f t="shared" si="0"/>
        <v>6</v>
      </c>
      <c r="B13" s="394" t="s">
        <v>820</v>
      </c>
      <c r="C13" s="393" t="s">
        <v>667</v>
      </c>
      <c r="D13" s="395">
        <v>1</v>
      </c>
      <c r="E13" s="396"/>
      <c r="F13" s="396"/>
    </row>
    <row r="14" spans="1:7" s="397" customFormat="1" ht="31.5" customHeight="1">
      <c r="A14" s="422">
        <f t="shared" si="0"/>
        <v>7</v>
      </c>
      <c r="B14" s="394" t="s">
        <v>821</v>
      </c>
      <c r="C14" s="393" t="s">
        <v>667</v>
      </c>
      <c r="D14" s="395">
        <v>2</v>
      </c>
      <c r="E14" s="396"/>
      <c r="F14" s="396"/>
    </row>
    <row r="15" spans="1:7" s="398" customFormat="1" ht="31.5" customHeight="1">
      <c r="A15" s="422">
        <f t="shared" si="0"/>
        <v>8</v>
      </c>
      <c r="B15" s="394" t="s">
        <v>822</v>
      </c>
      <c r="C15" s="393" t="s">
        <v>667</v>
      </c>
      <c r="D15" s="395">
        <v>5</v>
      </c>
      <c r="E15" s="396"/>
      <c r="F15" s="396"/>
    </row>
    <row r="16" spans="1:7" s="398" customFormat="1" ht="31.5" customHeight="1">
      <c r="A16" s="422">
        <f t="shared" si="0"/>
        <v>9</v>
      </c>
      <c r="B16" s="394" t="s">
        <v>1149</v>
      </c>
      <c r="C16" s="393" t="s">
        <v>824</v>
      </c>
      <c r="D16" s="395">
        <v>100</v>
      </c>
      <c r="E16" s="396"/>
      <c r="F16" s="396"/>
      <c r="G16" s="399"/>
    </row>
    <row r="17" spans="1:6" s="398" customFormat="1" ht="31.5" customHeight="1">
      <c r="A17" s="422">
        <f t="shared" si="0"/>
        <v>10</v>
      </c>
      <c r="B17" s="394" t="s">
        <v>933</v>
      </c>
      <c r="C17" s="393" t="s">
        <v>824</v>
      </c>
      <c r="D17" s="395">
        <v>40</v>
      </c>
      <c r="E17" s="396"/>
      <c r="F17" s="396"/>
    </row>
    <row r="18" spans="1:6" s="398" customFormat="1" ht="21.75" customHeight="1">
      <c r="A18" s="422">
        <f t="shared" si="0"/>
        <v>11</v>
      </c>
      <c r="B18" s="394" t="s">
        <v>826</v>
      </c>
      <c r="C18" s="393"/>
      <c r="D18" s="395">
        <v>2</v>
      </c>
      <c r="E18" s="396"/>
      <c r="F18" s="396"/>
    </row>
    <row r="19" spans="1:6" ht="21.75" customHeight="1">
      <c r="A19" s="422">
        <f t="shared" si="0"/>
        <v>12</v>
      </c>
      <c r="B19" s="394" t="s">
        <v>827</v>
      </c>
      <c r="C19" s="393" t="s">
        <v>667</v>
      </c>
      <c r="D19" s="395">
        <v>1</v>
      </c>
      <c r="E19" s="396"/>
      <c r="F19" s="396"/>
    </row>
    <row r="20" spans="1:6" ht="21.75" customHeight="1">
      <c r="A20" s="422">
        <f t="shared" si="0"/>
        <v>13</v>
      </c>
      <c r="B20" s="394" t="s">
        <v>828</v>
      </c>
      <c r="C20" s="393" t="s">
        <v>667</v>
      </c>
      <c r="D20" s="395">
        <v>1</v>
      </c>
      <c r="E20" s="396"/>
      <c r="F20" s="396"/>
    </row>
    <row r="21" spans="1:6" ht="33" customHeight="1">
      <c r="A21" s="422">
        <f t="shared" si="0"/>
        <v>14</v>
      </c>
      <c r="B21" s="394" t="s">
        <v>829</v>
      </c>
      <c r="C21" s="393" t="s">
        <v>674</v>
      </c>
      <c r="D21" s="395">
        <v>1</v>
      </c>
      <c r="E21" s="396"/>
      <c r="F21" s="396"/>
    </row>
    <row r="22" spans="1:6" ht="33" customHeight="1">
      <c r="A22" s="422">
        <f t="shared" si="0"/>
        <v>15</v>
      </c>
      <c r="B22" s="394" t="s">
        <v>830</v>
      </c>
      <c r="C22" s="393" t="s">
        <v>674</v>
      </c>
      <c r="D22" s="395">
        <v>1</v>
      </c>
      <c r="E22" s="396"/>
      <c r="F22" s="396"/>
    </row>
    <row r="23" spans="1:6" ht="33" customHeight="1">
      <c r="A23" s="422">
        <f t="shared" si="0"/>
        <v>16</v>
      </c>
      <c r="B23" s="394" t="s">
        <v>831</v>
      </c>
      <c r="C23" s="393" t="s">
        <v>674</v>
      </c>
      <c r="D23" s="395">
        <v>1</v>
      </c>
      <c r="E23" s="396"/>
      <c r="F23" s="396"/>
    </row>
    <row r="24" spans="1:6" ht="21.75" customHeight="1">
      <c r="A24" s="422">
        <f t="shared" si="0"/>
        <v>17</v>
      </c>
      <c r="B24" s="394" t="s">
        <v>832</v>
      </c>
      <c r="C24" s="393" t="s">
        <v>674</v>
      </c>
      <c r="D24" s="395">
        <v>30</v>
      </c>
      <c r="E24" s="396"/>
      <c r="F24" s="396"/>
    </row>
    <row r="25" spans="1:6" ht="21.75" customHeight="1">
      <c r="A25" s="422">
        <f t="shared" si="0"/>
        <v>18</v>
      </c>
      <c r="B25" s="394" t="s">
        <v>676</v>
      </c>
      <c r="C25" s="393" t="s">
        <v>667</v>
      </c>
      <c r="D25" s="395">
        <v>1</v>
      </c>
      <c r="E25" s="396"/>
      <c r="F25" s="396"/>
    </row>
    <row r="26" spans="1:6" s="398" customFormat="1" ht="22.5" customHeight="1">
      <c r="A26" s="422">
        <f t="shared" si="0"/>
        <v>19</v>
      </c>
      <c r="B26" s="401" t="s">
        <v>677</v>
      </c>
      <c r="C26" s="416" t="s">
        <v>833</v>
      </c>
      <c r="D26" s="402">
        <v>1</v>
      </c>
      <c r="E26" s="403"/>
      <c r="F26" s="396"/>
    </row>
    <row r="27" spans="1:6" s="398" customFormat="1" ht="20.25" customHeight="1">
      <c r="A27" s="404"/>
      <c r="B27" s="404" t="s">
        <v>407</v>
      </c>
      <c r="C27" s="404"/>
      <c r="D27" s="405"/>
      <c r="E27" s="406"/>
      <c r="F27" s="407">
        <f>SUM(F8:F26)</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5"/>
  <sheetViews>
    <sheetView topLeftCell="A18"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6" s="199" customFormat="1" ht="32.25" customHeight="1">
      <c r="A1" s="231" t="str">
        <f>'N6-6'!A1:F1</f>
        <v>yazbegis, aragvis, fSav-xevsureTisa da TuSeTis dacul teritoriebze arsebuli 7 qoxis saxarjTaRricxvo dokumentacia.</v>
      </c>
      <c r="B1" s="198"/>
      <c r="C1" s="198"/>
      <c r="D1" s="198"/>
      <c r="E1" s="198"/>
      <c r="F1" s="198"/>
    </row>
    <row r="2" spans="1:6" s="376" customFormat="1" ht="13.5" customHeight="1">
      <c r="A2" s="375" t="s">
        <v>664</v>
      </c>
      <c r="B2" s="375"/>
      <c r="C2" s="375"/>
      <c r="D2" s="375"/>
      <c r="E2" s="375"/>
      <c r="F2" s="375"/>
    </row>
    <row r="3" spans="1:6" s="376" customFormat="1" ht="19.5" customHeight="1">
      <c r="A3" s="330" t="s">
        <v>1093</v>
      </c>
      <c r="B3" s="330"/>
      <c r="C3" s="330"/>
      <c r="D3" s="330"/>
      <c r="E3" s="330"/>
      <c r="F3" s="330"/>
    </row>
    <row r="4" spans="1:6" s="335" customFormat="1" ht="20.25" customHeight="1">
      <c r="A4" s="377" t="s">
        <v>1150</v>
      </c>
      <c r="B4" s="377"/>
      <c r="C4" s="377"/>
      <c r="D4" s="377"/>
      <c r="E4" s="377"/>
      <c r="F4" s="377"/>
    </row>
    <row r="5" spans="1:6" s="199" customFormat="1" ht="19.5" customHeight="1" thickBot="1">
      <c r="A5" s="379" t="s">
        <v>517</v>
      </c>
      <c r="B5" s="379"/>
      <c r="C5" s="379"/>
      <c r="D5" s="379"/>
      <c r="E5" s="379"/>
      <c r="F5" s="379"/>
    </row>
    <row r="6" spans="1:6" ht="87.6" customHeight="1" thickBot="1">
      <c r="A6" s="381" t="s">
        <v>523</v>
      </c>
      <c r="B6" s="382" t="s">
        <v>524</v>
      </c>
      <c r="C6" s="383" t="s">
        <v>525</v>
      </c>
      <c r="D6" s="384" t="s">
        <v>411</v>
      </c>
      <c r="E6" s="385" t="s">
        <v>526</v>
      </c>
      <c r="F6" s="386" t="s">
        <v>527</v>
      </c>
    </row>
    <row r="7" spans="1:6" ht="16.5" thickBot="1">
      <c r="A7" s="387">
        <v>1</v>
      </c>
      <c r="B7" s="388">
        <v>2</v>
      </c>
      <c r="C7" s="389">
        <v>3</v>
      </c>
      <c r="D7" s="390" t="s">
        <v>488</v>
      </c>
      <c r="E7" s="391" t="s">
        <v>513</v>
      </c>
      <c r="F7" s="392" t="s">
        <v>515</v>
      </c>
    </row>
    <row r="8" spans="1:6" s="397" customFormat="1" ht="36.75" customHeight="1">
      <c r="A8" s="393" t="s">
        <v>5</v>
      </c>
      <c r="B8" s="394" t="s">
        <v>935</v>
      </c>
      <c r="C8" s="393" t="s">
        <v>667</v>
      </c>
      <c r="D8" s="395">
        <v>1</v>
      </c>
      <c r="E8" s="396"/>
      <c r="F8" s="396"/>
    </row>
    <row r="9" spans="1:6" s="397" customFormat="1" ht="53.25" customHeight="1">
      <c r="A9" s="393" t="s">
        <v>7</v>
      </c>
      <c r="B9" s="394" t="s">
        <v>936</v>
      </c>
      <c r="C9" s="393" t="s">
        <v>824</v>
      </c>
      <c r="D9" s="395">
        <v>150</v>
      </c>
      <c r="E9" s="396"/>
      <c r="F9" s="396"/>
    </row>
    <row r="10" spans="1:6" s="398" customFormat="1" ht="25.5">
      <c r="A10" s="393" t="s">
        <v>487</v>
      </c>
      <c r="B10" s="394" t="s">
        <v>937</v>
      </c>
      <c r="C10" s="393" t="s">
        <v>674</v>
      </c>
      <c r="D10" s="395">
        <v>40</v>
      </c>
      <c r="E10" s="396"/>
      <c r="F10" s="396"/>
    </row>
    <row r="11" spans="1:6" s="397" customFormat="1" ht="30.75" customHeight="1">
      <c r="A11" s="393" t="s">
        <v>488</v>
      </c>
      <c r="B11" s="394" t="s">
        <v>938</v>
      </c>
      <c r="C11" s="393" t="s">
        <v>824</v>
      </c>
      <c r="D11" s="395">
        <v>40</v>
      </c>
      <c r="E11" s="396"/>
      <c r="F11" s="396"/>
    </row>
    <row r="12" spans="1:6" s="398" customFormat="1" ht="52.5" customHeight="1">
      <c r="A12" s="393" t="s">
        <v>513</v>
      </c>
      <c r="B12" s="394" t="s">
        <v>939</v>
      </c>
      <c r="C12" s="393" t="s">
        <v>674</v>
      </c>
      <c r="D12" s="395">
        <v>31</v>
      </c>
      <c r="E12" s="396"/>
      <c r="F12" s="396"/>
    </row>
    <row r="13" spans="1:6" s="398" customFormat="1" ht="54" customHeight="1">
      <c r="A13" s="393" t="s">
        <v>515</v>
      </c>
      <c r="B13" s="394" t="s">
        <v>840</v>
      </c>
      <c r="C13" s="393" t="s">
        <v>674</v>
      </c>
      <c r="D13" s="395">
        <v>7</v>
      </c>
      <c r="E13" s="396"/>
      <c r="F13" s="396"/>
    </row>
    <row r="14" spans="1:6" s="398" customFormat="1" ht="54" customHeight="1">
      <c r="A14" s="393" t="s">
        <v>675</v>
      </c>
      <c r="B14" s="394" t="s">
        <v>841</v>
      </c>
      <c r="C14" s="393" t="s">
        <v>674</v>
      </c>
      <c r="D14" s="395">
        <v>17</v>
      </c>
      <c r="E14" s="396"/>
      <c r="F14" s="396"/>
    </row>
    <row r="15" spans="1:6" s="398" customFormat="1" ht="54" customHeight="1">
      <c r="A15" s="393" t="s">
        <v>686</v>
      </c>
      <c r="B15" s="394" t="s">
        <v>842</v>
      </c>
      <c r="C15" s="393" t="s">
        <v>674</v>
      </c>
      <c r="D15" s="395">
        <v>12</v>
      </c>
      <c r="E15" s="396"/>
      <c r="F15" s="396"/>
    </row>
    <row r="16" spans="1:6" s="398" customFormat="1" ht="54" customHeight="1">
      <c r="A16" s="393" t="s">
        <v>688</v>
      </c>
      <c r="B16" s="394" t="s">
        <v>843</v>
      </c>
      <c r="C16" s="393" t="s">
        <v>674</v>
      </c>
      <c r="D16" s="395">
        <v>3</v>
      </c>
      <c r="E16" s="396"/>
      <c r="F16" s="396"/>
    </row>
    <row r="17" spans="1:6" ht="38.25">
      <c r="A17" s="393" t="s">
        <v>690</v>
      </c>
      <c r="B17" s="394" t="s">
        <v>844</v>
      </c>
      <c r="C17" s="393" t="s">
        <v>824</v>
      </c>
      <c r="D17" s="395">
        <v>300</v>
      </c>
      <c r="E17" s="396"/>
      <c r="F17" s="396"/>
    </row>
    <row r="18" spans="1:6" ht="38.25">
      <c r="A18" s="393" t="s">
        <v>692</v>
      </c>
      <c r="B18" s="394" t="s">
        <v>845</v>
      </c>
      <c r="C18" s="393" t="s">
        <v>824</v>
      </c>
      <c r="D18" s="395">
        <v>350</v>
      </c>
      <c r="E18" s="396"/>
      <c r="F18" s="396"/>
    </row>
    <row r="19" spans="1:6" ht="16.5" thickBot="1">
      <c r="A19" s="592" t="s">
        <v>694</v>
      </c>
      <c r="B19" s="394" t="s">
        <v>676</v>
      </c>
      <c r="C19" s="393" t="s">
        <v>667</v>
      </c>
      <c r="D19" s="395">
        <v>1</v>
      </c>
      <c r="E19" s="396"/>
      <c r="F19" s="396"/>
    </row>
    <row r="20" spans="1:6" s="398" customFormat="1" ht="22.5" customHeight="1" thickBot="1">
      <c r="A20" s="593">
        <f t="shared" ref="A20" si="0">A19+1</f>
        <v>13</v>
      </c>
      <c r="B20" s="594" t="s">
        <v>677</v>
      </c>
      <c r="C20" s="595" t="s">
        <v>833</v>
      </c>
      <c r="D20" s="596">
        <v>1</v>
      </c>
      <c r="E20" s="597"/>
      <c r="F20" s="597"/>
    </row>
    <row r="21" spans="1:6" s="398" customFormat="1" ht="20.25" customHeight="1" thickBot="1">
      <c r="A21" s="598"/>
      <c r="B21" s="599" t="s">
        <v>407</v>
      </c>
      <c r="C21" s="599"/>
      <c r="D21" s="600"/>
      <c r="E21" s="601"/>
      <c r="F21" s="602">
        <f>SUM(F8:F20)</f>
        <v>0</v>
      </c>
    </row>
    <row r="25" spans="1:6">
      <c r="F25" s="398"/>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7" s="199" customFormat="1" ht="32.25" customHeight="1">
      <c r="A1" s="231" t="str">
        <f>'N6-7'!A1:F1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1093</v>
      </c>
      <c r="B3" s="330"/>
      <c r="C3" s="330"/>
      <c r="D3" s="330"/>
      <c r="E3" s="330"/>
      <c r="F3" s="330"/>
    </row>
    <row r="4" spans="1:7" s="335" customFormat="1" ht="20.25" customHeight="1">
      <c r="A4" s="377" t="s">
        <v>1151</v>
      </c>
      <c r="B4" s="377"/>
      <c r="C4" s="377"/>
      <c r="D4" s="377"/>
      <c r="E4" s="377"/>
      <c r="F4" s="377"/>
      <c r="G4" s="378"/>
    </row>
    <row r="5" spans="1:7" s="199" customFormat="1" ht="19.5" customHeight="1" thickBot="1">
      <c r="A5" s="379" t="s">
        <v>847</v>
      </c>
      <c r="B5" s="379"/>
      <c r="C5" s="379"/>
      <c r="D5" s="379"/>
      <c r="E5" s="379"/>
      <c r="F5" s="379"/>
      <c r="G5" s="380"/>
    </row>
    <row r="6" spans="1:7" ht="87.6" customHeight="1" thickBot="1">
      <c r="A6" s="381" t="s">
        <v>523</v>
      </c>
      <c r="B6" s="382" t="s">
        <v>524</v>
      </c>
      <c r="C6" s="383" t="s">
        <v>525</v>
      </c>
      <c r="D6" s="384" t="s">
        <v>411</v>
      </c>
      <c r="E6" s="385" t="s">
        <v>526</v>
      </c>
      <c r="F6" s="386" t="s">
        <v>527</v>
      </c>
    </row>
    <row r="7" spans="1:7" ht="16.5" thickBot="1">
      <c r="A7" s="387">
        <v>1</v>
      </c>
      <c r="B7" s="388">
        <v>2</v>
      </c>
      <c r="C7" s="389">
        <v>3</v>
      </c>
      <c r="D7" s="390" t="s">
        <v>488</v>
      </c>
      <c r="E7" s="391" t="s">
        <v>513</v>
      </c>
      <c r="F7" s="392" t="s">
        <v>515</v>
      </c>
    </row>
    <row r="8" spans="1:7" s="397" customFormat="1" ht="36.75" customHeight="1">
      <c r="A8" s="393" t="s">
        <v>5</v>
      </c>
      <c r="B8" s="394" t="s">
        <v>848</v>
      </c>
      <c r="C8" s="393" t="s">
        <v>674</v>
      </c>
      <c r="D8" s="395">
        <v>1</v>
      </c>
      <c r="E8" s="396"/>
      <c r="F8" s="396"/>
    </row>
    <row r="9" spans="1:7" s="397" customFormat="1" ht="53.25" customHeight="1">
      <c r="A9" s="393" t="s">
        <v>7</v>
      </c>
      <c r="B9" s="394" t="s">
        <v>849</v>
      </c>
      <c r="C9" s="393" t="s">
        <v>674</v>
      </c>
      <c r="D9" s="395">
        <v>2</v>
      </c>
      <c r="E9" s="396"/>
      <c r="F9" s="396"/>
    </row>
    <row r="10" spans="1:7" s="398" customFormat="1" ht="76.5">
      <c r="A10" s="393" t="s">
        <v>487</v>
      </c>
      <c r="B10" s="394" t="s">
        <v>850</v>
      </c>
      <c r="C10" s="393" t="s">
        <v>674</v>
      </c>
      <c r="D10" s="395">
        <v>4</v>
      </c>
      <c r="E10" s="396"/>
      <c r="F10" s="396"/>
    </row>
    <row r="11" spans="1:7" s="397" customFormat="1" ht="31.5" customHeight="1">
      <c r="A11" s="393" t="s">
        <v>488</v>
      </c>
      <c r="B11" s="394" t="s">
        <v>851</v>
      </c>
      <c r="C11" s="393" t="s">
        <v>824</v>
      </c>
      <c r="D11" s="395">
        <v>50</v>
      </c>
      <c r="E11" s="396"/>
      <c r="F11" s="396"/>
    </row>
    <row r="12" spans="1:7" s="398" customFormat="1" ht="31.5" customHeight="1">
      <c r="A12" s="393" t="s">
        <v>513</v>
      </c>
      <c r="B12" s="394" t="s">
        <v>852</v>
      </c>
      <c r="C12" s="393" t="s">
        <v>674</v>
      </c>
      <c r="D12" s="395">
        <v>10</v>
      </c>
      <c r="E12" s="396"/>
      <c r="F12" s="396"/>
    </row>
    <row r="13" spans="1:7" s="398" customFormat="1" ht="31.5" customHeight="1">
      <c r="A13" s="393" t="s">
        <v>515</v>
      </c>
      <c r="B13" s="394" t="s">
        <v>853</v>
      </c>
      <c r="C13" s="393" t="s">
        <v>824</v>
      </c>
      <c r="D13" s="395">
        <v>36</v>
      </c>
      <c r="E13" s="396"/>
      <c r="F13" s="396"/>
    </row>
    <row r="14" spans="1:7" s="398" customFormat="1" ht="31.5" customHeight="1">
      <c r="A14" s="393" t="s">
        <v>675</v>
      </c>
      <c r="B14" s="394" t="s">
        <v>854</v>
      </c>
      <c r="C14" s="393" t="s">
        <v>667</v>
      </c>
      <c r="D14" s="395">
        <v>1</v>
      </c>
      <c r="E14" s="396"/>
      <c r="F14" s="396"/>
      <c r="G14" s="399"/>
    </row>
    <row r="15" spans="1:7" s="398" customFormat="1" ht="31.5" customHeight="1">
      <c r="A15" s="393" t="s">
        <v>686</v>
      </c>
      <c r="B15" s="394" t="s">
        <v>942</v>
      </c>
      <c r="C15" s="393" t="s">
        <v>667</v>
      </c>
      <c r="D15" s="395">
        <v>1</v>
      </c>
      <c r="E15" s="396"/>
      <c r="F15" s="396"/>
    </row>
    <row r="16" spans="1:7" s="398" customFormat="1" ht="31.5" customHeight="1">
      <c r="A16" s="393" t="s">
        <v>688</v>
      </c>
      <c r="B16" s="394" t="s">
        <v>943</v>
      </c>
      <c r="C16" s="393" t="s">
        <v>667</v>
      </c>
      <c r="D16" s="395">
        <v>1</v>
      </c>
      <c r="E16" s="396"/>
      <c r="F16" s="396"/>
    </row>
    <row r="17" spans="1:6">
      <c r="A17" s="393" t="s">
        <v>690</v>
      </c>
      <c r="B17" s="394" t="s">
        <v>854</v>
      </c>
      <c r="C17" s="393" t="s">
        <v>667</v>
      </c>
      <c r="D17" s="395">
        <v>1</v>
      </c>
      <c r="E17" s="396"/>
      <c r="F17" s="396"/>
    </row>
    <row r="18" spans="1:6" s="398" customFormat="1" ht="22.5" customHeight="1">
      <c r="A18" s="393" t="s">
        <v>692</v>
      </c>
      <c r="B18" s="401" t="s">
        <v>702</v>
      </c>
      <c r="C18" s="393" t="s">
        <v>667</v>
      </c>
      <c r="D18" s="402">
        <v>1</v>
      </c>
      <c r="E18" s="403"/>
      <c r="F18" s="396"/>
    </row>
    <row r="19" spans="1:6" s="398" customFormat="1" ht="20.25" customHeight="1">
      <c r="A19" s="404"/>
      <c r="B19" s="404" t="s">
        <v>407</v>
      </c>
      <c r="C19" s="404"/>
      <c r="D19" s="405"/>
      <c r="E19" s="406"/>
      <c r="F19" s="407">
        <f>SUM(F8:F18)</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O21"/>
  <sheetViews>
    <sheetView topLeftCell="A5" zoomScaleNormal="100" workbookViewId="0">
      <selection activeCell="B8" sqref="B8"/>
    </sheetView>
  </sheetViews>
  <sheetFormatPr defaultRowHeight="12.75"/>
  <cols>
    <col min="1" max="1" width="7.7109375" style="104" customWidth="1"/>
    <col min="2" max="2" width="10.7109375" style="104" customWidth="1"/>
    <col min="3" max="3" width="45.7109375" style="104" customWidth="1"/>
    <col min="4" max="4" width="21" style="104" customWidth="1"/>
    <col min="5" max="16384" width="9.140625" style="104"/>
  </cols>
  <sheetData>
    <row r="1" spans="1:4" s="199" customFormat="1" ht="54" customHeight="1">
      <c r="A1" s="231" t="str">
        <f>'N6-8'!A1:F1</f>
        <v>yazbegis, aragvis, fSav-xevsureTisa da TuSeTis dacul teritoriebze arsebuli 7 qoxis saxarjTaRricxvo dokumentacia.</v>
      </c>
      <c r="B1" s="198"/>
      <c r="C1" s="198"/>
      <c r="D1" s="198"/>
    </row>
    <row r="2" spans="1:4" s="201" customFormat="1" ht="24" customHeight="1">
      <c r="A2" s="200" t="s">
        <v>503</v>
      </c>
      <c r="B2" s="200"/>
      <c r="C2" s="200"/>
      <c r="D2" s="200"/>
    </row>
    <row r="3" spans="1:4" s="201" customFormat="1" ht="23.25" customHeight="1" thickBot="1">
      <c r="A3" s="202" t="s">
        <v>1152</v>
      </c>
      <c r="B3" s="202"/>
      <c r="C3" s="202"/>
      <c r="D3" s="202"/>
    </row>
    <row r="4" spans="1:4" s="201" customFormat="1" ht="108" customHeight="1" thickBot="1">
      <c r="A4" s="203" t="s">
        <v>506</v>
      </c>
      <c r="B4" s="204" t="s">
        <v>392</v>
      </c>
      <c r="C4" s="205" t="s">
        <v>507</v>
      </c>
      <c r="D4" s="205" t="s">
        <v>508</v>
      </c>
    </row>
    <row r="5" spans="1:4" s="201" customFormat="1" ht="20.25" customHeight="1" thickBot="1">
      <c r="A5" s="206">
        <v>1</v>
      </c>
      <c r="B5" s="207">
        <v>2</v>
      </c>
      <c r="C5" s="206">
        <v>3</v>
      </c>
      <c r="D5" s="206">
        <v>4</v>
      </c>
    </row>
    <row r="6" spans="1:4" s="201" customFormat="1" ht="22.5" customHeight="1">
      <c r="A6" s="208">
        <v>1</v>
      </c>
      <c r="B6" s="424" t="s">
        <v>1153</v>
      </c>
      <c r="C6" s="210" t="s">
        <v>509</v>
      </c>
      <c r="D6" s="425">
        <f>'N7-1'!F77</f>
        <v>0</v>
      </c>
    </row>
    <row r="7" spans="1:4" s="216" customFormat="1" ht="39.75" customHeight="1">
      <c r="A7" s="212" t="s">
        <v>7</v>
      </c>
      <c r="B7" s="424" t="s">
        <v>1154</v>
      </c>
      <c r="C7" s="214" t="s">
        <v>510</v>
      </c>
      <c r="D7" s="215">
        <f>'N7-2'!F17</f>
        <v>0</v>
      </c>
    </row>
    <row r="8" spans="1:4" s="201" customFormat="1" ht="22.5" customHeight="1">
      <c r="A8" s="217">
        <v>3</v>
      </c>
      <c r="B8" s="424" t="s">
        <v>1155</v>
      </c>
      <c r="C8" s="218" t="s">
        <v>511</v>
      </c>
      <c r="D8" s="215">
        <f>'N7-3'!F16</f>
        <v>0</v>
      </c>
    </row>
    <row r="9" spans="1:4" s="201" customFormat="1" ht="22.5" customHeight="1">
      <c r="A9" s="212" t="s">
        <v>488</v>
      </c>
      <c r="B9" s="424" t="s">
        <v>1156</v>
      </c>
      <c r="C9" s="218" t="s">
        <v>512</v>
      </c>
      <c r="D9" s="215">
        <f>'N7-4'!F25</f>
        <v>0</v>
      </c>
    </row>
    <row r="10" spans="1:4" s="201" customFormat="1" ht="22.5" customHeight="1">
      <c r="A10" s="212" t="s">
        <v>513</v>
      </c>
      <c r="B10" s="424" t="s">
        <v>1157</v>
      </c>
      <c r="C10" s="218" t="s">
        <v>514</v>
      </c>
      <c r="D10" s="215">
        <f>'N7-5'!F113</f>
        <v>0</v>
      </c>
    </row>
    <row r="11" spans="1:4" s="201" customFormat="1" ht="22.5" customHeight="1">
      <c r="A11" s="212" t="s">
        <v>515</v>
      </c>
      <c r="B11" s="424" t="s">
        <v>1158</v>
      </c>
      <c r="C11" s="218" t="s">
        <v>516</v>
      </c>
      <c r="D11" s="215">
        <f>'N7-6'!F27</f>
        <v>0</v>
      </c>
    </row>
    <row r="12" spans="1:4" s="201" customFormat="1" ht="39" customHeight="1">
      <c r="A12" s="217">
        <v>7</v>
      </c>
      <c r="B12" s="424" t="s">
        <v>1159</v>
      </c>
      <c r="C12" s="219" t="s">
        <v>517</v>
      </c>
      <c r="D12" s="215">
        <f>'N7-7'!F21</f>
        <v>0</v>
      </c>
    </row>
    <row r="13" spans="1:4" s="201" customFormat="1" ht="33.75" customHeight="1">
      <c r="A13" s="217">
        <v>8</v>
      </c>
      <c r="B13" s="424" t="s">
        <v>1160</v>
      </c>
      <c r="C13" s="219" t="s">
        <v>518</v>
      </c>
      <c r="D13" s="215">
        <f>'N7-8'!F19</f>
        <v>0</v>
      </c>
    </row>
    <row r="14" spans="1:4" s="201" customFormat="1" ht="22.5" customHeight="1" thickBot="1">
      <c r="A14" s="220"/>
      <c r="B14" s="221"/>
      <c r="C14" s="222" t="s">
        <v>519</v>
      </c>
      <c r="D14" s="223">
        <f>SUM(D6:D13)</f>
        <v>0</v>
      </c>
    </row>
    <row r="15" spans="1:4" s="225" customFormat="1" ht="13.5">
      <c r="A15" s="224"/>
    </row>
    <row r="16" spans="1:4" s="226" customFormat="1"/>
    <row r="17" spans="1:119" s="229" customFormat="1" ht="15">
      <c r="A17" s="228"/>
      <c r="B17" s="228"/>
      <c r="D17" s="603"/>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30"/>
      <c r="AP17" s="230"/>
      <c r="AQ17" s="230"/>
      <c r="AR17" s="230"/>
      <c r="AS17" s="230"/>
      <c r="AT17" s="230"/>
      <c r="AU17" s="230"/>
      <c r="AV17" s="230"/>
      <c r="AW17" s="230"/>
      <c r="AX17" s="230"/>
      <c r="AY17" s="230"/>
      <c r="AZ17" s="230"/>
      <c r="BA17" s="230"/>
      <c r="BB17" s="230"/>
      <c r="BC17" s="230"/>
      <c r="BD17" s="230"/>
      <c r="BE17" s="230"/>
      <c r="BF17" s="230"/>
      <c r="BG17" s="230"/>
      <c r="BH17" s="230"/>
      <c r="BI17" s="230"/>
      <c r="BJ17" s="230"/>
      <c r="BK17" s="230"/>
      <c r="BL17" s="230"/>
      <c r="BM17" s="230"/>
      <c r="BN17" s="230"/>
      <c r="BO17" s="230"/>
      <c r="BP17" s="230"/>
      <c r="BQ17" s="230"/>
      <c r="BR17" s="230"/>
      <c r="BS17" s="230"/>
      <c r="BT17" s="230"/>
      <c r="BU17" s="230"/>
      <c r="BV17" s="230"/>
      <c r="BW17" s="230"/>
      <c r="BX17" s="230"/>
      <c r="BY17" s="230"/>
      <c r="BZ17" s="230"/>
      <c r="CA17" s="230"/>
      <c r="CB17" s="230"/>
      <c r="CC17" s="230"/>
      <c r="CD17" s="230"/>
      <c r="CE17" s="230"/>
      <c r="CF17" s="230"/>
      <c r="CG17" s="230"/>
      <c r="CH17" s="230"/>
      <c r="CI17" s="230"/>
      <c r="CJ17" s="230"/>
      <c r="CK17" s="230"/>
      <c r="CL17" s="230"/>
      <c r="CM17" s="230"/>
      <c r="CN17" s="230"/>
      <c r="CO17" s="230"/>
      <c r="CP17" s="230"/>
      <c r="CQ17" s="230"/>
      <c r="CR17" s="230"/>
      <c r="CS17" s="230"/>
      <c r="CT17" s="230"/>
      <c r="CU17" s="230"/>
      <c r="CV17" s="230"/>
      <c r="CW17" s="230"/>
      <c r="CX17" s="230"/>
      <c r="CY17" s="230"/>
      <c r="CZ17" s="230"/>
      <c r="DA17" s="230"/>
      <c r="DB17" s="230"/>
      <c r="DC17" s="230"/>
      <c r="DD17" s="230"/>
      <c r="DE17" s="230"/>
      <c r="DF17" s="230"/>
      <c r="DG17" s="230"/>
      <c r="DH17" s="230"/>
      <c r="DI17" s="230"/>
      <c r="DJ17" s="230"/>
      <c r="DK17" s="230"/>
      <c r="DL17" s="230"/>
      <c r="DM17" s="230"/>
      <c r="DN17" s="230"/>
      <c r="DO17" s="230"/>
    </row>
    <row r="21" spans="1:119">
      <c r="D21" s="104">
        <v>1.3088135593220345</v>
      </c>
    </row>
  </sheetData>
  <mergeCells count="3">
    <mergeCell ref="A1:D1"/>
    <mergeCell ref="A2:D2"/>
    <mergeCell ref="A3:D3"/>
  </mergeCells>
  <pageMargins left="0.7" right="0.7" top="0.75" bottom="0.75" header="0.3" footer="0.3"/>
  <pageSetup paperSize="9"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80"/>
  <sheetViews>
    <sheetView topLeftCell="A71" zoomScaleNormal="100" workbookViewId="0">
      <selection activeCell="B8" sqref="B8"/>
    </sheetView>
  </sheetViews>
  <sheetFormatPr defaultRowHeight="12.75"/>
  <cols>
    <col min="1" max="1" width="5.5703125" style="104" customWidth="1"/>
    <col min="2" max="2" width="47.140625" style="104" bestFit="1" customWidth="1"/>
    <col min="3" max="4" width="7.5703125" style="104" customWidth="1"/>
    <col min="5" max="5" width="8.85546875" style="104" customWidth="1"/>
    <col min="6" max="6" width="12.42578125" style="104" customWidth="1"/>
    <col min="7" max="7" width="9.140625" style="104"/>
    <col min="8" max="8" width="17.85546875" style="104" bestFit="1" customWidth="1"/>
    <col min="9" max="16384" width="9.140625" style="104"/>
  </cols>
  <sheetData>
    <row r="1" spans="1:7" s="199" customFormat="1" ht="32.25" customHeight="1">
      <c r="A1" s="231" t="str">
        <f>ob.N7!A1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1161</v>
      </c>
      <c r="B3" s="330"/>
      <c r="C3" s="330"/>
      <c r="D3" s="330"/>
      <c r="E3" s="330"/>
      <c r="F3" s="330"/>
    </row>
    <row r="4" spans="1:7" s="335" customFormat="1" ht="20.25" customHeight="1">
      <c r="A4" s="377" t="s">
        <v>1162</v>
      </c>
      <c r="B4" s="377"/>
      <c r="C4" s="377"/>
      <c r="D4" s="377"/>
      <c r="E4" s="377"/>
      <c r="F4" s="377"/>
      <c r="G4" s="378"/>
    </row>
    <row r="5" spans="1:7" s="199" customFormat="1" ht="19.5" customHeight="1" thickBot="1">
      <c r="A5" s="379" t="s">
        <v>522</v>
      </c>
      <c r="B5" s="379"/>
      <c r="C5" s="379"/>
      <c r="D5" s="379"/>
      <c r="E5" s="379"/>
      <c r="F5" s="379"/>
      <c r="G5" s="380"/>
    </row>
    <row r="6" spans="1:7" ht="46.5" customHeight="1">
      <c r="A6" s="547" t="s">
        <v>523</v>
      </c>
      <c r="B6" s="548" t="s">
        <v>524</v>
      </c>
      <c r="C6" s="552" t="s">
        <v>525</v>
      </c>
      <c r="D6" s="570" t="s">
        <v>411</v>
      </c>
      <c r="E6" s="552" t="s">
        <v>526</v>
      </c>
      <c r="F6" s="571" t="s">
        <v>527</v>
      </c>
    </row>
    <row r="7" spans="1:7" ht="49.5" customHeight="1" thickBot="1">
      <c r="A7" s="553"/>
      <c r="B7" s="554"/>
      <c r="C7" s="558"/>
      <c r="D7" s="572"/>
      <c r="E7" s="558"/>
      <c r="F7" s="573"/>
    </row>
    <row r="8" spans="1:7" s="584" customFormat="1" ht="20.25" customHeight="1" thickBot="1">
      <c r="A8" s="582">
        <v>1</v>
      </c>
      <c r="B8" s="583">
        <v>2</v>
      </c>
      <c r="C8" s="582">
        <v>3</v>
      </c>
      <c r="D8" s="576">
        <v>4</v>
      </c>
      <c r="E8" s="577">
        <v>5</v>
      </c>
      <c r="F8" s="578">
        <v>6</v>
      </c>
    </row>
    <row r="9" spans="1:7" ht="16.5">
      <c r="A9" s="604"/>
      <c r="B9" s="442" t="s">
        <v>1008</v>
      </c>
      <c r="C9" s="604"/>
      <c r="D9" s="605"/>
      <c r="E9" s="605"/>
      <c r="F9" s="585"/>
    </row>
    <row r="10" spans="1:7" ht="54" customHeight="1">
      <c r="A10" s="366">
        <v>1</v>
      </c>
      <c r="B10" s="358" t="s">
        <v>1163</v>
      </c>
      <c r="C10" s="366" t="s">
        <v>537</v>
      </c>
      <c r="D10" s="449">
        <v>14.35</v>
      </c>
      <c r="E10" s="266"/>
      <c r="F10" s="360"/>
    </row>
    <row r="11" spans="1:7" ht="31.5">
      <c r="A11" s="366">
        <v>2</v>
      </c>
      <c r="B11" s="358" t="s">
        <v>567</v>
      </c>
      <c r="C11" s="366" t="s">
        <v>537</v>
      </c>
      <c r="D11" s="449">
        <f>0.00864*114+5.88</f>
        <v>6.86496</v>
      </c>
      <c r="E11" s="266"/>
      <c r="F11" s="360"/>
    </row>
    <row r="12" spans="1:7" ht="31.5">
      <c r="A12" s="445">
        <v>3</v>
      </c>
      <c r="B12" s="358" t="s">
        <v>568</v>
      </c>
      <c r="C12" s="366" t="s">
        <v>537</v>
      </c>
      <c r="D12" s="450">
        <v>0.74941999999999998</v>
      </c>
      <c r="E12" s="266"/>
      <c r="F12" s="360"/>
    </row>
    <row r="13" spans="1:7" ht="31.5">
      <c r="A13" s="359">
        <v>4</v>
      </c>
      <c r="B13" s="358" t="s">
        <v>569</v>
      </c>
      <c r="C13" s="359" t="s">
        <v>537</v>
      </c>
      <c r="D13" s="517">
        <f>D11+D12</f>
        <v>7.6143799999999997</v>
      </c>
      <c r="E13" s="274"/>
      <c r="F13" s="360"/>
    </row>
    <row r="14" spans="1:7" ht="15.75">
      <c r="A14" s="359">
        <v>5</v>
      </c>
      <c r="B14" s="358" t="s">
        <v>570</v>
      </c>
      <c r="C14" s="359" t="s">
        <v>554</v>
      </c>
      <c r="D14" s="263">
        <v>232</v>
      </c>
      <c r="E14" s="274"/>
      <c r="F14" s="360"/>
    </row>
    <row r="15" spans="1:7" ht="31.5">
      <c r="A15" s="362">
        <v>6</v>
      </c>
      <c r="B15" s="358" t="s">
        <v>571</v>
      </c>
      <c r="C15" s="359" t="s">
        <v>537</v>
      </c>
      <c r="D15" s="517">
        <f>D13</f>
        <v>7.6143799999999997</v>
      </c>
      <c r="E15" s="274"/>
      <c r="F15" s="360"/>
    </row>
    <row r="16" spans="1:7" s="584" customFormat="1" ht="31.5">
      <c r="A16" s="366">
        <v>7</v>
      </c>
      <c r="B16" s="358" t="s">
        <v>572</v>
      </c>
      <c r="C16" s="366" t="s">
        <v>530</v>
      </c>
      <c r="D16" s="259">
        <v>2.36</v>
      </c>
      <c r="E16" s="266"/>
      <c r="F16" s="360"/>
    </row>
    <row r="17" spans="1:6" ht="31.5">
      <c r="A17" s="366">
        <v>8</v>
      </c>
      <c r="B17" s="358" t="s">
        <v>573</v>
      </c>
      <c r="C17" s="366" t="s">
        <v>530</v>
      </c>
      <c r="D17" s="278">
        <f>10.84+1.75+5.05</f>
        <v>17.64</v>
      </c>
      <c r="E17" s="266"/>
      <c r="F17" s="360"/>
    </row>
    <row r="18" spans="1:6" ht="31.5">
      <c r="A18" s="366">
        <v>9</v>
      </c>
      <c r="B18" s="358" t="s">
        <v>1164</v>
      </c>
      <c r="C18" s="366" t="s">
        <v>530</v>
      </c>
      <c r="D18" s="278">
        <v>17.149999999999999</v>
      </c>
      <c r="E18" s="266"/>
      <c r="F18" s="360"/>
    </row>
    <row r="19" spans="1:6" ht="31.5">
      <c r="A19" s="366">
        <v>10</v>
      </c>
      <c r="B19" s="358" t="s">
        <v>1165</v>
      </c>
      <c r="C19" s="366" t="s">
        <v>530</v>
      </c>
      <c r="D19" s="278">
        <v>15.05</v>
      </c>
      <c r="E19" s="266"/>
      <c r="F19" s="360"/>
    </row>
    <row r="20" spans="1:6" ht="15.75">
      <c r="A20" s="281">
        <v>11</v>
      </c>
      <c r="B20" s="452" t="s">
        <v>575</v>
      </c>
      <c r="C20" s="281" t="s">
        <v>530</v>
      </c>
      <c r="D20" s="268">
        <f>D17+D18+D16+D19</f>
        <v>52.2</v>
      </c>
      <c r="E20" s="270"/>
      <c r="F20" s="360"/>
    </row>
    <row r="21" spans="1:6" ht="31.5">
      <c r="A21" s="400">
        <v>12</v>
      </c>
      <c r="B21" s="358" t="s">
        <v>1058</v>
      </c>
      <c r="C21" s="366" t="s">
        <v>537</v>
      </c>
      <c r="D21" s="366">
        <v>5.8922400000000001</v>
      </c>
      <c r="E21" s="266"/>
      <c r="F21" s="360"/>
    </row>
    <row r="22" spans="1:6" ht="15.75">
      <c r="A22" s="281"/>
      <c r="B22" s="280" t="s">
        <v>578</v>
      </c>
      <c r="C22" s="281" t="s">
        <v>474</v>
      </c>
      <c r="D22" s="268">
        <v>550</v>
      </c>
      <c r="E22" s="268"/>
      <c r="F22" s="360"/>
    </row>
    <row r="23" spans="1:6" ht="15.75">
      <c r="A23" s="281"/>
      <c r="B23" s="280" t="s">
        <v>580</v>
      </c>
      <c r="C23" s="281" t="s">
        <v>474</v>
      </c>
      <c r="D23" s="268">
        <v>690</v>
      </c>
      <c r="E23" s="268"/>
      <c r="F23" s="360"/>
    </row>
    <row r="24" spans="1:6" ht="16.5">
      <c r="A24" s="441"/>
      <c r="B24" s="442" t="s">
        <v>581</v>
      </c>
      <c r="C24" s="441"/>
      <c r="D24" s="253"/>
      <c r="E24" s="253"/>
      <c r="F24" s="360"/>
    </row>
    <row r="25" spans="1:6" ht="31.5">
      <c r="A25" s="400">
        <v>1</v>
      </c>
      <c r="B25" s="358" t="s">
        <v>1013</v>
      </c>
      <c r="C25" s="366" t="s">
        <v>530</v>
      </c>
      <c r="D25" s="278">
        <v>1.8752</v>
      </c>
      <c r="E25" s="266"/>
      <c r="F25" s="360"/>
    </row>
    <row r="26" spans="1:6" ht="63">
      <c r="A26" s="359">
        <v>2</v>
      </c>
      <c r="B26" s="358" t="s">
        <v>583</v>
      </c>
      <c r="C26" s="359" t="s">
        <v>554</v>
      </c>
      <c r="D26" s="263">
        <v>117.2</v>
      </c>
      <c r="E26" s="274"/>
      <c r="F26" s="360"/>
    </row>
    <row r="27" spans="1:6" ht="47.25">
      <c r="A27" s="359"/>
      <c r="B27" s="358" t="s">
        <v>584</v>
      </c>
      <c r="C27" s="362" t="s">
        <v>530</v>
      </c>
      <c r="D27" s="363">
        <f>D26*0.025</f>
        <v>2.93</v>
      </c>
      <c r="E27" s="274"/>
      <c r="F27" s="360"/>
    </row>
    <row r="28" spans="1:6" ht="15.75">
      <c r="A28" s="400">
        <v>3</v>
      </c>
      <c r="B28" s="358" t="s">
        <v>585</v>
      </c>
      <c r="C28" s="366" t="s">
        <v>586</v>
      </c>
      <c r="D28" s="259">
        <f>D26</f>
        <v>117.2</v>
      </c>
      <c r="E28" s="266"/>
      <c r="F28" s="360"/>
    </row>
    <row r="29" spans="1:6" ht="31.5">
      <c r="A29" s="400">
        <v>4</v>
      </c>
      <c r="B29" s="358" t="s">
        <v>870</v>
      </c>
      <c r="C29" s="366" t="s">
        <v>554</v>
      </c>
      <c r="D29" s="259">
        <f>D26</f>
        <v>117.2</v>
      </c>
      <c r="E29" s="266"/>
      <c r="F29" s="360"/>
    </row>
    <row r="30" spans="1:6" ht="15.75">
      <c r="A30" s="400">
        <v>5</v>
      </c>
      <c r="B30" s="358" t="s">
        <v>588</v>
      </c>
      <c r="C30" s="366" t="s">
        <v>586</v>
      </c>
      <c r="D30" s="259">
        <f>D26</f>
        <v>117.2</v>
      </c>
      <c r="E30" s="266"/>
      <c r="F30" s="360"/>
    </row>
    <row r="31" spans="1:6" ht="63">
      <c r="A31" s="359">
        <v>6</v>
      </c>
      <c r="B31" s="358" t="s">
        <v>1014</v>
      </c>
      <c r="C31" s="359" t="s">
        <v>554</v>
      </c>
      <c r="D31" s="283">
        <v>106.3</v>
      </c>
      <c r="E31" s="274"/>
      <c r="F31" s="360"/>
    </row>
    <row r="32" spans="1:6" ht="47.25">
      <c r="A32" s="359"/>
      <c r="B32" s="358" t="s">
        <v>584</v>
      </c>
      <c r="C32" s="362" t="s">
        <v>530</v>
      </c>
      <c r="D32" s="363">
        <f>D31*0.025</f>
        <v>2.6575000000000002</v>
      </c>
      <c r="E32" s="274"/>
      <c r="F32" s="360"/>
    </row>
    <row r="33" spans="1:6" ht="31.5">
      <c r="A33" s="359">
        <v>7</v>
      </c>
      <c r="B33" s="358" t="s">
        <v>590</v>
      </c>
      <c r="C33" s="359" t="s">
        <v>554</v>
      </c>
      <c r="D33" s="263">
        <v>10.9</v>
      </c>
      <c r="E33" s="274"/>
      <c r="F33" s="360"/>
    </row>
    <row r="34" spans="1:6" ht="16.5">
      <c r="A34" s="441"/>
      <c r="B34" s="442" t="s">
        <v>591</v>
      </c>
      <c r="C34" s="441"/>
      <c r="D34" s="253"/>
      <c r="E34" s="253"/>
      <c r="F34" s="360"/>
    </row>
    <row r="35" spans="1:6" ht="15.75">
      <c r="A35" s="359">
        <v>1</v>
      </c>
      <c r="B35" s="358" t="s">
        <v>1015</v>
      </c>
      <c r="C35" s="359" t="s">
        <v>530</v>
      </c>
      <c r="D35" s="283">
        <v>33</v>
      </c>
      <c r="E35" s="274"/>
      <c r="F35" s="360"/>
    </row>
    <row r="36" spans="1:6" ht="16.5">
      <c r="A36" s="441"/>
      <c r="B36" s="442" t="s">
        <v>593</v>
      </c>
      <c r="C36" s="441"/>
      <c r="D36" s="253"/>
      <c r="E36" s="253"/>
      <c r="F36" s="360"/>
    </row>
    <row r="37" spans="1:6" ht="31.5">
      <c r="A37" s="400">
        <v>1</v>
      </c>
      <c r="B37" s="358" t="s">
        <v>872</v>
      </c>
      <c r="C37" s="366" t="s">
        <v>586</v>
      </c>
      <c r="D37" s="278">
        <f>D38*2+D41*2</f>
        <v>423</v>
      </c>
      <c r="E37" s="266"/>
      <c r="F37" s="360"/>
    </row>
    <row r="38" spans="1:6" ht="63">
      <c r="A38" s="400">
        <v>2</v>
      </c>
      <c r="B38" s="358" t="s">
        <v>960</v>
      </c>
      <c r="C38" s="366" t="s">
        <v>554</v>
      </c>
      <c r="D38" s="259">
        <v>171.9</v>
      </c>
      <c r="E38" s="266"/>
      <c r="F38" s="360"/>
    </row>
    <row r="39" spans="1:6" ht="31.5">
      <c r="A39" s="359"/>
      <c r="B39" s="358" t="s">
        <v>1016</v>
      </c>
      <c r="C39" s="359" t="s">
        <v>530</v>
      </c>
      <c r="D39" s="567">
        <f>171.9*0.013</f>
        <v>2.2347000000000001</v>
      </c>
      <c r="E39" s="274"/>
      <c r="F39" s="360"/>
    </row>
    <row r="40" spans="1:6" ht="63">
      <c r="A40" s="400">
        <v>2</v>
      </c>
      <c r="B40" s="358" t="s">
        <v>873</v>
      </c>
      <c r="C40" s="366" t="s">
        <v>554</v>
      </c>
      <c r="D40" s="278">
        <v>12.7</v>
      </c>
      <c r="E40" s="266"/>
      <c r="F40" s="360"/>
    </row>
    <row r="41" spans="1:6" ht="63">
      <c r="A41" s="400">
        <v>2</v>
      </c>
      <c r="B41" s="358" t="s">
        <v>601</v>
      </c>
      <c r="C41" s="366" t="s">
        <v>554</v>
      </c>
      <c r="D41" s="259">
        <v>39.6</v>
      </c>
      <c r="E41" s="266"/>
      <c r="F41" s="360"/>
    </row>
    <row r="42" spans="1:6" ht="31.5">
      <c r="A42" s="359"/>
      <c r="B42" s="358" t="s">
        <v>1016</v>
      </c>
      <c r="C42" s="359" t="s">
        <v>530</v>
      </c>
      <c r="D42" s="363">
        <f>39.6*0.013</f>
        <v>0.51480000000000004</v>
      </c>
      <c r="E42" s="274"/>
      <c r="F42" s="360"/>
    </row>
    <row r="43" spans="1:6" ht="63">
      <c r="A43" s="359">
        <v>3</v>
      </c>
      <c r="B43" s="358" t="s">
        <v>603</v>
      </c>
      <c r="C43" s="359" t="s">
        <v>554</v>
      </c>
      <c r="D43" s="263">
        <f>D41</f>
        <v>39.6</v>
      </c>
      <c r="E43" s="274"/>
      <c r="F43" s="360"/>
    </row>
    <row r="44" spans="1:6" ht="15.75">
      <c r="A44" s="454"/>
      <c r="B44" s="455" t="s">
        <v>604</v>
      </c>
      <c r="C44" s="454"/>
      <c r="D44" s="456"/>
      <c r="E44" s="292"/>
      <c r="F44" s="360"/>
    </row>
    <row r="45" spans="1:6" ht="47.25">
      <c r="A45" s="362">
        <v>1</v>
      </c>
      <c r="B45" s="358" t="s">
        <v>605</v>
      </c>
      <c r="C45" s="359" t="s">
        <v>554</v>
      </c>
      <c r="D45" s="283">
        <v>22.35</v>
      </c>
      <c r="E45" s="274"/>
      <c r="F45" s="360"/>
    </row>
    <row r="46" spans="1:6" ht="47.25">
      <c r="A46" s="359">
        <v>2</v>
      </c>
      <c r="B46" s="358" t="s">
        <v>1100</v>
      </c>
      <c r="C46" s="359" t="s">
        <v>554</v>
      </c>
      <c r="D46" s="263">
        <v>1.89</v>
      </c>
      <c r="E46" s="274"/>
      <c r="F46" s="360"/>
    </row>
    <row r="47" spans="1:6" ht="47.25">
      <c r="A47" s="359">
        <v>3</v>
      </c>
      <c r="B47" s="358" t="s">
        <v>1017</v>
      </c>
      <c r="C47" s="359" t="s">
        <v>554</v>
      </c>
      <c r="D47" s="283">
        <v>3.36</v>
      </c>
      <c r="E47" s="274"/>
      <c r="F47" s="360"/>
    </row>
    <row r="48" spans="1:6" ht="47.25">
      <c r="A48" s="359">
        <v>4</v>
      </c>
      <c r="B48" s="358" t="s">
        <v>1018</v>
      </c>
      <c r="C48" s="359" t="s">
        <v>554</v>
      </c>
      <c r="D48" s="283">
        <f>13.44+3.36</f>
        <v>16.8</v>
      </c>
      <c r="E48" s="274"/>
      <c r="F48" s="360"/>
    </row>
    <row r="49" spans="1:6" ht="47.25">
      <c r="A49" s="359">
        <v>5</v>
      </c>
      <c r="B49" s="358" t="s">
        <v>1101</v>
      </c>
      <c r="C49" s="359" t="s">
        <v>554</v>
      </c>
      <c r="D49" s="263">
        <v>4.2</v>
      </c>
      <c r="E49" s="274"/>
      <c r="F49" s="360"/>
    </row>
    <row r="50" spans="1:6" ht="15.75">
      <c r="A50" s="454"/>
      <c r="B50" s="442" t="s">
        <v>613</v>
      </c>
      <c r="C50" s="454"/>
      <c r="D50" s="457"/>
      <c r="E50" s="292"/>
      <c r="F50" s="360"/>
    </row>
    <row r="51" spans="1:6" ht="15.75">
      <c r="A51" s="400">
        <v>1</v>
      </c>
      <c r="B51" s="458" t="s">
        <v>614</v>
      </c>
      <c r="C51" s="400" t="s">
        <v>554</v>
      </c>
      <c r="D51" s="278">
        <v>310.60000000000002</v>
      </c>
      <c r="E51" s="306"/>
      <c r="F51" s="360"/>
    </row>
    <row r="52" spans="1:6" ht="31.5">
      <c r="A52" s="366">
        <v>2</v>
      </c>
      <c r="B52" s="358" t="s">
        <v>1166</v>
      </c>
      <c r="C52" s="366" t="s">
        <v>530</v>
      </c>
      <c r="D52" s="278">
        <v>15.935</v>
      </c>
      <c r="E52" s="266"/>
      <c r="F52" s="360"/>
    </row>
    <row r="53" spans="1:6" ht="31.5">
      <c r="A53" s="362">
        <v>3</v>
      </c>
      <c r="B53" s="358" t="s">
        <v>623</v>
      </c>
      <c r="C53" s="359" t="s">
        <v>554</v>
      </c>
      <c r="D53" s="283">
        <v>199.15</v>
      </c>
      <c r="E53" s="274"/>
      <c r="F53" s="360"/>
    </row>
    <row r="54" spans="1:6" ht="31.5">
      <c r="A54" s="459">
        <v>4</v>
      </c>
      <c r="B54" s="460" t="s">
        <v>617</v>
      </c>
      <c r="C54" s="459" t="s">
        <v>554</v>
      </c>
      <c r="D54" s="287">
        <v>9.9</v>
      </c>
      <c r="E54" s="288"/>
      <c r="F54" s="360"/>
    </row>
    <row r="55" spans="1:6" ht="47.25">
      <c r="A55" s="362">
        <v>5</v>
      </c>
      <c r="B55" s="458" t="s">
        <v>618</v>
      </c>
      <c r="C55" s="359" t="s">
        <v>554</v>
      </c>
      <c r="D55" s="283">
        <v>178.1</v>
      </c>
      <c r="E55" s="274"/>
      <c r="F55" s="360"/>
    </row>
    <row r="56" spans="1:6" ht="15.75">
      <c r="A56" s="454"/>
      <c r="B56" s="442" t="s">
        <v>620</v>
      </c>
      <c r="C56" s="454"/>
      <c r="D56" s="457"/>
      <c r="E56" s="292"/>
      <c r="F56" s="360"/>
    </row>
    <row r="57" spans="1:6" ht="15.75">
      <c r="A57" s="400">
        <v>1</v>
      </c>
      <c r="B57" s="358" t="s">
        <v>621</v>
      </c>
      <c r="C57" s="366" t="s">
        <v>554</v>
      </c>
      <c r="D57" s="278">
        <f>327+168</f>
        <v>495</v>
      </c>
      <c r="E57" s="266"/>
      <c r="F57" s="360"/>
    </row>
    <row r="58" spans="1:6" ht="15.75">
      <c r="A58" s="366">
        <v>2</v>
      </c>
      <c r="B58" s="358" t="s">
        <v>968</v>
      </c>
      <c r="C58" s="366" t="s">
        <v>554</v>
      </c>
      <c r="D58" s="278">
        <f>327-60.2</f>
        <v>266.8</v>
      </c>
      <c r="E58" s="266"/>
      <c r="F58" s="360"/>
    </row>
    <row r="59" spans="1:6" ht="15.75">
      <c r="A59" s="400">
        <v>3</v>
      </c>
      <c r="B59" s="358" t="s">
        <v>585</v>
      </c>
      <c r="C59" s="366" t="s">
        <v>554</v>
      </c>
      <c r="D59" s="278">
        <v>327</v>
      </c>
      <c r="E59" s="266"/>
      <c r="F59" s="360"/>
    </row>
    <row r="60" spans="1:6" ht="31.5">
      <c r="A60" s="400">
        <v>4</v>
      </c>
      <c r="B60" s="458" t="s">
        <v>969</v>
      </c>
      <c r="C60" s="528" t="s">
        <v>970</v>
      </c>
      <c r="D60" s="278">
        <v>327</v>
      </c>
      <c r="E60" s="306"/>
      <c r="F60" s="360"/>
    </row>
    <row r="61" spans="1:6" ht="31.5">
      <c r="A61" s="400">
        <v>5</v>
      </c>
      <c r="B61" s="358" t="s">
        <v>623</v>
      </c>
      <c r="C61" s="366" t="s">
        <v>554</v>
      </c>
      <c r="D61" s="278">
        <v>327</v>
      </c>
      <c r="E61" s="266"/>
      <c r="F61" s="360"/>
    </row>
    <row r="62" spans="1:6" ht="15.75">
      <c r="A62" s="400">
        <v>6</v>
      </c>
      <c r="B62" s="358" t="s">
        <v>628</v>
      </c>
      <c r="C62" s="366" t="s">
        <v>554</v>
      </c>
      <c r="D62" s="259">
        <v>327</v>
      </c>
      <c r="E62" s="266"/>
      <c r="F62" s="360"/>
    </row>
    <row r="63" spans="1:6" ht="15.75">
      <c r="A63" s="454"/>
      <c r="B63" s="442" t="s">
        <v>629</v>
      </c>
      <c r="C63" s="454"/>
      <c r="D63" s="457"/>
      <c r="E63" s="292"/>
      <c r="F63" s="360"/>
    </row>
    <row r="64" spans="1:6" ht="31.5">
      <c r="A64" s="362">
        <v>1</v>
      </c>
      <c r="B64" s="458" t="s">
        <v>632</v>
      </c>
      <c r="C64" s="362" t="s">
        <v>554</v>
      </c>
      <c r="D64" s="283">
        <v>75.849999999999994</v>
      </c>
      <c r="E64" s="283"/>
      <c r="F64" s="360"/>
    </row>
    <row r="65" spans="1:8" ht="31.5">
      <c r="A65" s="400">
        <v>2</v>
      </c>
      <c r="B65" s="358" t="s">
        <v>634</v>
      </c>
      <c r="C65" s="366" t="s">
        <v>554</v>
      </c>
      <c r="D65" s="259">
        <f>10.15+186.55</f>
        <v>196.70000000000002</v>
      </c>
      <c r="E65" s="266"/>
      <c r="F65" s="360"/>
    </row>
    <row r="66" spans="1:8" ht="31.5">
      <c r="A66" s="459">
        <v>3</v>
      </c>
      <c r="B66" s="460" t="s">
        <v>635</v>
      </c>
      <c r="C66" s="459" t="s">
        <v>586</v>
      </c>
      <c r="D66" s="287">
        <v>10.15</v>
      </c>
      <c r="E66" s="288"/>
      <c r="F66" s="360"/>
    </row>
    <row r="67" spans="1:8" ht="31.5">
      <c r="A67" s="359">
        <v>4</v>
      </c>
      <c r="B67" s="358" t="s">
        <v>636</v>
      </c>
      <c r="C67" s="359" t="s">
        <v>554</v>
      </c>
      <c r="D67" s="283">
        <f>D66</f>
        <v>10.15</v>
      </c>
      <c r="E67" s="304"/>
      <c r="F67" s="360"/>
    </row>
    <row r="68" spans="1:8" ht="47.25">
      <c r="A68" s="359">
        <v>5</v>
      </c>
      <c r="B68" s="358" t="s">
        <v>637</v>
      </c>
      <c r="C68" s="359" t="s">
        <v>554</v>
      </c>
      <c r="D68" s="263">
        <v>186.55</v>
      </c>
      <c r="E68" s="274"/>
      <c r="F68" s="360"/>
    </row>
    <row r="69" spans="1:8" ht="15.75">
      <c r="A69" s="454"/>
      <c r="B69" s="455" t="s">
        <v>638</v>
      </c>
      <c r="C69" s="454"/>
      <c r="D69" s="456"/>
      <c r="E69" s="292"/>
      <c r="F69" s="360"/>
    </row>
    <row r="70" spans="1:8" ht="63">
      <c r="A70" s="362">
        <v>1</v>
      </c>
      <c r="B70" s="458" t="s">
        <v>879</v>
      </c>
      <c r="C70" s="359" t="s">
        <v>554</v>
      </c>
      <c r="D70" s="263">
        <v>90.6</v>
      </c>
      <c r="E70" s="274"/>
      <c r="F70" s="360"/>
    </row>
    <row r="71" spans="1:8" ht="47.25">
      <c r="A71" s="362">
        <v>3</v>
      </c>
      <c r="B71" s="358" t="s">
        <v>640</v>
      </c>
      <c r="C71" s="359" t="s">
        <v>641</v>
      </c>
      <c r="D71" s="263">
        <v>23.15</v>
      </c>
      <c r="E71" s="274"/>
      <c r="F71" s="360"/>
    </row>
    <row r="72" spans="1:8" ht="47.25">
      <c r="A72" s="359">
        <v>4</v>
      </c>
      <c r="B72" s="358" t="s">
        <v>642</v>
      </c>
      <c r="C72" s="359" t="s">
        <v>554</v>
      </c>
      <c r="D72" s="263">
        <v>10.199999999999999</v>
      </c>
      <c r="E72" s="263"/>
      <c r="F72" s="360"/>
    </row>
    <row r="73" spans="1:8" ht="15.75">
      <c r="A73" s="454"/>
      <c r="B73" s="455" t="s">
        <v>643</v>
      </c>
      <c r="C73" s="454"/>
      <c r="D73" s="456"/>
      <c r="E73" s="292"/>
      <c r="F73" s="360"/>
    </row>
    <row r="74" spans="1:8" ht="15.75">
      <c r="A74" s="359">
        <v>1</v>
      </c>
      <c r="B74" s="358" t="s">
        <v>1167</v>
      </c>
      <c r="C74" s="359" t="s">
        <v>530</v>
      </c>
      <c r="D74" s="263">
        <v>3</v>
      </c>
      <c r="E74" s="274"/>
      <c r="F74" s="360"/>
    </row>
    <row r="75" spans="1:8" ht="16.5">
      <c r="A75" s="606"/>
      <c r="B75" s="607" t="s">
        <v>407</v>
      </c>
      <c r="C75" s="608"/>
      <c r="D75" s="606"/>
      <c r="E75" s="609"/>
      <c r="F75" s="372">
        <f>SUM(F10:F74)</f>
        <v>0</v>
      </c>
    </row>
    <row r="76" spans="1:8" ht="54">
      <c r="A76" s="610"/>
      <c r="B76" s="466" t="s">
        <v>1168</v>
      </c>
      <c r="C76" s="611" t="s">
        <v>648</v>
      </c>
      <c r="D76" s="612">
        <f>4849/60</f>
        <v>80.816666666666663</v>
      </c>
      <c r="E76" s="613"/>
      <c r="F76" s="360"/>
    </row>
    <row r="77" spans="1:8" ht="16.5">
      <c r="A77" s="606"/>
      <c r="B77" s="471" t="s">
        <v>398</v>
      </c>
      <c r="C77" s="608"/>
      <c r="D77" s="606"/>
      <c r="E77" s="606"/>
      <c r="F77" s="372">
        <f>F75+F76</f>
        <v>0</v>
      </c>
      <c r="H77" s="614"/>
    </row>
    <row r="80" spans="1:8" ht="36" customHeight="1">
      <c r="A80" s="474"/>
      <c r="B80" s="327" t="s">
        <v>649</v>
      </c>
      <c r="C80" s="327"/>
      <c r="D80" s="327"/>
      <c r="E80" s="327"/>
      <c r="F80" s="327"/>
    </row>
  </sheetData>
  <mergeCells count="12">
    <mergeCell ref="F6:F7"/>
    <mergeCell ref="B80:F80"/>
    <mergeCell ref="A1:F1"/>
    <mergeCell ref="A2:F2"/>
    <mergeCell ref="A3:F3"/>
    <mergeCell ref="A4:F4"/>
    <mergeCell ref="A5:F5"/>
    <mergeCell ref="A6:A7"/>
    <mergeCell ref="B6:B7"/>
    <mergeCell ref="C6:C7"/>
    <mergeCell ref="D6:D7"/>
    <mergeCell ref="E6:E7"/>
  </mergeCells>
  <pageMargins left="0.7" right="0.7" top="0.75" bottom="0.75" header="0.3" footer="0.3"/>
  <pageSetup paperSize="9"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6" width="8.140625" style="409" customWidth="1"/>
    <col min="7" max="16384" width="9.140625" style="344"/>
  </cols>
  <sheetData>
    <row r="1" spans="1:7" s="199" customFormat="1" ht="32.25" customHeight="1">
      <c r="A1" s="231" t="str">
        <f>'N7-1'!A1:F1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1169</v>
      </c>
      <c r="B3" s="330"/>
      <c r="C3" s="330"/>
      <c r="D3" s="330"/>
      <c r="E3" s="330"/>
      <c r="F3" s="330"/>
    </row>
    <row r="4" spans="1:7" s="335" customFormat="1" ht="20.25" customHeight="1">
      <c r="A4" s="377" t="s">
        <v>1170</v>
      </c>
      <c r="B4" s="377"/>
      <c r="C4" s="377"/>
      <c r="D4" s="377"/>
      <c r="E4" s="377"/>
      <c r="F4" s="377"/>
      <c r="G4" s="378"/>
    </row>
    <row r="5" spans="1:7" s="199" customFormat="1" ht="19.5" customHeight="1" thickBot="1">
      <c r="A5" s="379" t="s">
        <v>522</v>
      </c>
      <c r="B5" s="379"/>
      <c r="C5" s="379"/>
      <c r="D5" s="379"/>
      <c r="E5" s="379"/>
      <c r="F5" s="379"/>
      <c r="G5" s="380"/>
    </row>
    <row r="6" spans="1:7" ht="87.6" customHeight="1" thickBot="1">
      <c r="A6" s="381" t="s">
        <v>523</v>
      </c>
      <c r="B6" s="382" t="s">
        <v>524</v>
      </c>
      <c r="C6" s="383" t="s">
        <v>525</v>
      </c>
      <c r="D6" s="384" t="s">
        <v>411</v>
      </c>
      <c r="E6" s="385" t="s">
        <v>526</v>
      </c>
      <c r="F6" s="386" t="s">
        <v>527</v>
      </c>
    </row>
    <row r="7" spans="1:7" ht="16.5" thickBot="1">
      <c r="A7" s="387">
        <v>1</v>
      </c>
      <c r="B7" s="388">
        <v>2</v>
      </c>
      <c r="C7" s="389">
        <v>3</v>
      </c>
      <c r="D7" s="390" t="s">
        <v>488</v>
      </c>
      <c r="E7" s="391" t="s">
        <v>513</v>
      </c>
      <c r="F7" s="392" t="s">
        <v>515</v>
      </c>
    </row>
    <row r="8" spans="1:7" s="397" customFormat="1" ht="51" customHeight="1">
      <c r="A8" s="359">
        <v>1</v>
      </c>
      <c r="B8" s="358" t="s">
        <v>654</v>
      </c>
      <c r="C8" s="359" t="s">
        <v>554</v>
      </c>
      <c r="D8" s="263">
        <v>23.35</v>
      </c>
      <c r="E8" s="274"/>
      <c r="F8" s="360"/>
    </row>
    <row r="9" spans="1:7" s="397" customFormat="1" ht="37.5" customHeight="1">
      <c r="A9" s="359"/>
      <c r="B9" s="358" t="s">
        <v>655</v>
      </c>
      <c r="C9" s="362" t="s">
        <v>530</v>
      </c>
      <c r="D9" s="363">
        <f>D8*0.03</f>
        <v>0.70050000000000001</v>
      </c>
      <c r="E9" s="274"/>
      <c r="F9" s="360"/>
    </row>
    <row r="10" spans="1:7" s="397" customFormat="1" ht="51.75" customHeight="1">
      <c r="A10" s="359">
        <v>2</v>
      </c>
      <c r="B10" s="358" t="s">
        <v>885</v>
      </c>
      <c r="C10" s="359" t="s">
        <v>554</v>
      </c>
      <c r="D10" s="263">
        <v>22.85</v>
      </c>
      <c r="E10" s="274"/>
      <c r="F10" s="360"/>
    </row>
    <row r="11" spans="1:7" s="398" customFormat="1" ht="31.5">
      <c r="A11" s="359"/>
      <c r="B11" s="358" t="s">
        <v>655</v>
      </c>
      <c r="C11" s="362" t="s">
        <v>530</v>
      </c>
      <c r="D11" s="363">
        <f>D10*0.03</f>
        <v>0.6855</v>
      </c>
      <c r="E11" s="274"/>
      <c r="F11" s="360"/>
    </row>
    <row r="12" spans="1:7" s="397" customFormat="1" ht="54" customHeight="1">
      <c r="A12" s="359">
        <v>3</v>
      </c>
      <c r="B12" s="358" t="s">
        <v>658</v>
      </c>
      <c r="C12" s="359" t="s">
        <v>554</v>
      </c>
      <c r="D12" s="283">
        <v>1.6</v>
      </c>
      <c r="E12" s="274"/>
      <c r="F12" s="360"/>
    </row>
    <row r="13" spans="1:7" s="398" customFormat="1" ht="52.5" customHeight="1">
      <c r="A13" s="366">
        <v>4</v>
      </c>
      <c r="B13" s="358" t="s">
        <v>659</v>
      </c>
      <c r="C13" s="366" t="s">
        <v>530</v>
      </c>
      <c r="D13" s="278">
        <v>0.2</v>
      </c>
      <c r="E13" s="266"/>
      <c r="F13" s="360"/>
    </row>
    <row r="14" spans="1:7" s="398" customFormat="1" ht="44.25" customHeight="1">
      <c r="A14" s="400">
        <v>5</v>
      </c>
      <c r="B14" s="358" t="s">
        <v>660</v>
      </c>
      <c r="C14" s="366" t="s">
        <v>554</v>
      </c>
      <c r="D14" s="259">
        <v>13.7</v>
      </c>
      <c r="E14" s="266"/>
      <c r="F14" s="360"/>
    </row>
    <row r="15" spans="1:7" s="398" customFormat="1" ht="35.25" customHeight="1">
      <c r="A15" s="400">
        <v>6</v>
      </c>
      <c r="B15" s="358" t="s">
        <v>661</v>
      </c>
      <c r="C15" s="366" t="s">
        <v>554</v>
      </c>
      <c r="D15" s="259">
        <f>D14</f>
        <v>13.7</v>
      </c>
      <c r="E15" s="266"/>
      <c r="F15" s="360"/>
    </row>
    <row r="16" spans="1:7" s="398" customFormat="1" ht="20.25" customHeight="1">
      <c r="A16" s="362">
        <v>7</v>
      </c>
      <c r="B16" s="358" t="s">
        <v>662</v>
      </c>
      <c r="C16" s="359" t="s">
        <v>554</v>
      </c>
      <c r="D16" s="263">
        <f>D14</f>
        <v>13.7</v>
      </c>
      <c r="E16" s="274"/>
      <c r="F16" s="360"/>
    </row>
    <row r="17" spans="1:6" s="398" customFormat="1" ht="20.25" customHeight="1">
      <c r="A17" s="404"/>
      <c r="B17" s="404" t="s">
        <v>407</v>
      </c>
      <c r="C17" s="404"/>
      <c r="D17" s="405"/>
      <c r="E17" s="406"/>
      <c r="F17" s="407">
        <f>SUM(F8:F16)</f>
        <v>0</v>
      </c>
    </row>
    <row r="19" spans="1:6">
      <c r="F19" s="587"/>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1"/>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7" s="199" customFormat="1" ht="32.25" customHeight="1">
      <c r="A1" s="231" t="str">
        <f>'N7-2'!A1:F1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1161</v>
      </c>
      <c r="B3" s="330"/>
      <c r="C3" s="330"/>
      <c r="D3" s="330"/>
      <c r="E3" s="330"/>
      <c r="F3" s="330"/>
    </row>
    <row r="4" spans="1:7" s="335" customFormat="1" ht="20.25" customHeight="1">
      <c r="A4" s="377" t="s">
        <v>1171</v>
      </c>
      <c r="B4" s="377"/>
      <c r="C4" s="377"/>
      <c r="D4" s="377"/>
      <c r="E4" s="377"/>
      <c r="F4" s="377"/>
      <c r="G4" s="378"/>
    </row>
    <row r="5" spans="1:7" s="199" customFormat="1" ht="19.5" customHeight="1" thickBot="1">
      <c r="A5" s="379" t="s">
        <v>511</v>
      </c>
      <c r="B5" s="379"/>
      <c r="C5" s="379"/>
      <c r="D5" s="379"/>
      <c r="E5" s="379"/>
      <c r="F5" s="379"/>
      <c r="G5" s="380"/>
    </row>
    <row r="6" spans="1:7" ht="87.6" customHeight="1" thickBot="1">
      <c r="A6" s="381" t="s">
        <v>523</v>
      </c>
      <c r="B6" s="382" t="s">
        <v>524</v>
      </c>
      <c r="C6" s="383" t="s">
        <v>525</v>
      </c>
      <c r="D6" s="384" t="s">
        <v>411</v>
      </c>
      <c r="E6" s="385" t="s">
        <v>526</v>
      </c>
      <c r="F6" s="386" t="s">
        <v>527</v>
      </c>
    </row>
    <row r="7" spans="1:7" ht="16.5" thickBot="1">
      <c r="A7" s="387">
        <v>1</v>
      </c>
      <c r="B7" s="388">
        <v>2</v>
      </c>
      <c r="C7" s="389">
        <v>3</v>
      </c>
      <c r="D7" s="390" t="s">
        <v>488</v>
      </c>
      <c r="E7" s="391" t="s">
        <v>513</v>
      </c>
      <c r="F7" s="392" t="s">
        <v>515</v>
      </c>
    </row>
    <row r="8" spans="1:7" s="397" customFormat="1" ht="120.75" customHeight="1">
      <c r="A8" s="359" t="s">
        <v>535</v>
      </c>
      <c r="B8" s="394" t="s">
        <v>666</v>
      </c>
      <c r="C8" s="393" t="s">
        <v>667</v>
      </c>
      <c r="D8" s="395">
        <v>1</v>
      </c>
      <c r="E8" s="396"/>
      <c r="F8" s="396"/>
    </row>
    <row r="9" spans="1:7" s="397" customFormat="1" ht="53.25" customHeight="1">
      <c r="A9" s="359">
        <v>2</v>
      </c>
      <c r="B9" s="394" t="s">
        <v>1025</v>
      </c>
      <c r="C9" s="393" t="s">
        <v>669</v>
      </c>
      <c r="D9" s="395">
        <v>1</v>
      </c>
      <c r="E9" s="396"/>
      <c r="F9" s="396"/>
    </row>
    <row r="10" spans="1:7" s="398" customFormat="1" ht="76.5">
      <c r="A10" s="359" t="s">
        <v>545</v>
      </c>
      <c r="B10" s="394" t="s">
        <v>670</v>
      </c>
      <c r="C10" s="393" t="s">
        <v>667</v>
      </c>
      <c r="D10" s="395">
        <v>1</v>
      </c>
      <c r="E10" s="396"/>
      <c r="F10" s="396"/>
    </row>
    <row r="11" spans="1:7" s="397" customFormat="1" ht="30.75" customHeight="1">
      <c r="A11" s="359">
        <v>3</v>
      </c>
      <c r="B11" s="394" t="s">
        <v>671</v>
      </c>
      <c r="C11" s="393" t="s">
        <v>669</v>
      </c>
      <c r="D11" s="395">
        <v>1</v>
      </c>
      <c r="E11" s="396"/>
      <c r="F11" s="396"/>
    </row>
    <row r="12" spans="1:7" s="398" customFormat="1" ht="52.5" customHeight="1">
      <c r="A12" s="366">
        <v>4</v>
      </c>
      <c r="B12" s="394" t="s">
        <v>888</v>
      </c>
      <c r="C12" s="393" t="s">
        <v>669</v>
      </c>
      <c r="D12" s="395">
        <v>1</v>
      </c>
      <c r="E12" s="396"/>
      <c r="F12" s="396"/>
    </row>
    <row r="13" spans="1:7" s="398" customFormat="1" ht="22.5" customHeight="1">
      <c r="A13" s="400">
        <v>5</v>
      </c>
      <c r="B13" s="394" t="s">
        <v>673</v>
      </c>
      <c r="C13" s="393" t="s">
        <v>674</v>
      </c>
      <c r="D13" s="395">
        <v>3</v>
      </c>
      <c r="E13" s="396"/>
      <c r="F13" s="396"/>
    </row>
    <row r="14" spans="1:7" s="398" customFormat="1" ht="22.5" customHeight="1">
      <c r="A14" s="400">
        <v>6</v>
      </c>
      <c r="B14" s="394" t="s">
        <v>676</v>
      </c>
      <c r="C14" s="393" t="s">
        <v>667</v>
      </c>
      <c r="D14" s="395">
        <v>2</v>
      </c>
      <c r="E14" s="396"/>
      <c r="F14" s="396"/>
      <c r="G14" s="399"/>
    </row>
    <row r="15" spans="1:7" s="398" customFormat="1" ht="22.5" customHeight="1">
      <c r="A15" s="400">
        <v>7</v>
      </c>
      <c r="B15" s="401" t="s">
        <v>1067</v>
      </c>
      <c r="C15" s="393" t="s">
        <v>667</v>
      </c>
      <c r="D15" s="402">
        <v>1</v>
      </c>
      <c r="E15" s="403"/>
      <c r="F15" s="396"/>
    </row>
    <row r="16" spans="1:7" s="398" customFormat="1" ht="20.25" customHeight="1">
      <c r="A16" s="404"/>
      <c r="B16" s="404" t="s">
        <v>407</v>
      </c>
      <c r="C16" s="404"/>
      <c r="D16" s="405"/>
      <c r="E16" s="406"/>
      <c r="F16" s="407">
        <f>SUM(F8:F15)</f>
        <v>0</v>
      </c>
    </row>
    <row r="18" spans="6:6">
      <c r="F18" s="587"/>
    </row>
    <row r="19" spans="6:6">
      <c r="F19" s="588"/>
    </row>
    <row r="20" spans="6:6">
      <c r="F20" s="589"/>
    </row>
    <row r="21" spans="6:6">
      <c r="F21" s="588"/>
    </row>
  </sheetData>
  <protectedRanges>
    <protectedRange sqref="B8 B10" name="Диапазон1_1"/>
    <protectedRange sqref="C8:D8 C10:D10" name="Диапазон1_1_2"/>
  </protectedRanges>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C5" zoomScale="115" zoomScaleNormal="115"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156</v>
      </c>
      <c r="B3" s="64"/>
      <c r="C3" s="64"/>
      <c r="D3" s="64"/>
      <c r="E3" s="64"/>
      <c r="F3" s="64"/>
    </row>
    <row r="4" spans="1:6">
      <c r="A4" s="63" t="s">
        <v>48</v>
      </c>
      <c r="B4" s="64"/>
      <c r="C4" s="64"/>
      <c r="D4" s="64"/>
      <c r="E4" s="64"/>
      <c r="F4" s="64"/>
    </row>
    <row r="5" spans="1:6">
      <c r="A5" s="65" t="s">
        <v>155</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2</v>
      </c>
      <c r="E7" s="3"/>
      <c r="F7" s="12"/>
    </row>
    <row r="8" spans="1:6">
      <c r="A8" s="3">
        <v>2</v>
      </c>
      <c r="B8" s="18" t="s">
        <v>113</v>
      </c>
      <c r="C8" s="3" t="s">
        <v>47</v>
      </c>
      <c r="D8" s="3">
        <v>4</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0.45100000000000001</v>
      </c>
      <c r="E11" s="3"/>
      <c r="F11" s="12"/>
    </row>
    <row r="12" spans="1:6">
      <c r="A12" s="28">
        <v>6</v>
      </c>
      <c r="B12" s="18" t="s">
        <v>123</v>
      </c>
      <c r="C12" s="3" t="s">
        <v>52</v>
      </c>
      <c r="D12" s="3">
        <v>27</v>
      </c>
      <c r="E12" s="3"/>
      <c r="F12" s="12"/>
    </row>
    <row r="13" spans="1:6">
      <c r="A13" s="28">
        <v>7</v>
      </c>
      <c r="B13" s="18" t="s">
        <v>130</v>
      </c>
      <c r="C13" s="3" t="s">
        <v>46</v>
      </c>
      <c r="D13" s="3">
        <f>D16*0.78</f>
        <v>4.68</v>
      </c>
      <c r="E13" s="3"/>
      <c r="F13" s="12"/>
    </row>
    <row r="14" spans="1:6">
      <c r="A14" s="28">
        <v>8</v>
      </c>
      <c r="B14" s="18" t="s">
        <v>120</v>
      </c>
      <c r="C14" s="3" t="s">
        <v>119</v>
      </c>
      <c r="D14" s="3">
        <f>81*2+4*4</f>
        <v>178</v>
      </c>
      <c r="E14" s="3"/>
      <c r="F14" s="12"/>
    </row>
    <row r="15" spans="1:6">
      <c r="A15" s="28">
        <v>9</v>
      </c>
      <c r="B15" s="21" t="s">
        <v>121</v>
      </c>
      <c r="C15" s="3" t="s">
        <v>51</v>
      </c>
      <c r="D15" s="3">
        <v>262</v>
      </c>
      <c r="E15" s="3"/>
      <c r="F15" s="12"/>
    </row>
    <row r="16" spans="1:6" ht="30">
      <c r="A16" s="28">
        <v>10</v>
      </c>
      <c r="B16" s="18" t="s">
        <v>122</v>
      </c>
      <c r="C16" s="3" t="s">
        <v>115</v>
      </c>
      <c r="D16" s="3">
        <v>6</v>
      </c>
      <c r="E16" s="3"/>
      <c r="F16" s="12"/>
    </row>
    <row r="17" spans="1:6">
      <c r="A17" s="28">
        <v>11</v>
      </c>
      <c r="B17" s="18" t="s">
        <v>124</v>
      </c>
      <c r="C17" s="3" t="s">
        <v>118</v>
      </c>
      <c r="D17" s="3">
        <f>D11+(D9*2.5)</f>
        <v>1.651</v>
      </c>
      <c r="E17" s="3"/>
      <c r="F17" s="12"/>
    </row>
    <row r="18" spans="1:6">
      <c r="A18" s="28">
        <v>12</v>
      </c>
      <c r="B18" s="21" t="s">
        <v>125</v>
      </c>
      <c r="C18" s="3" t="s">
        <v>118</v>
      </c>
      <c r="D18" s="3">
        <f>D17</f>
        <v>1.651</v>
      </c>
      <c r="E18" s="3"/>
      <c r="F18" s="12"/>
    </row>
    <row r="19" spans="1:6">
      <c r="A19" s="28">
        <v>13</v>
      </c>
      <c r="B19" s="18" t="s">
        <v>127</v>
      </c>
      <c r="C19" s="3" t="s">
        <v>128</v>
      </c>
      <c r="D19" s="3">
        <v>50</v>
      </c>
      <c r="E19" s="3"/>
      <c r="F19" s="12"/>
    </row>
    <row r="20" spans="1:6">
      <c r="A20" s="28">
        <v>14</v>
      </c>
      <c r="B20" s="18" t="s">
        <v>386</v>
      </c>
      <c r="C20" s="28" t="s">
        <v>118</v>
      </c>
      <c r="D20" s="28">
        <f>D11</f>
        <v>0.45100000000000001</v>
      </c>
      <c r="E20" s="28"/>
      <c r="F20" s="12"/>
    </row>
    <row r="21" spans="1:6">
      <c r="A21" s="28">
        <v>15</v>
      </c>
      <c r="B21" s="18" t="s">
        <v>150</v>
      </c>
      <c r="C21" s="6" t="s">
        <v>51</v>
      </c>
      <c r="D21" s="3">
        <v>2</v>
      </c>
      <c r="E21" s="3"/>
      <c r="F21" s="12"/>
    </row>
    <row r="22" spans="1:6">
      <c r="A22" s="28">
        <v>16</v>
      </c>
      <c r="B22" s="18" t="s">
        <v>129</v>
      </c>
      <c r="C22" s="3" t="s">
        <v>115</v>
      </c>
      <c r="D22" s="3">
        <f>D16</f>
        <v>6</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5"/>
  <sheetViews>
    <sheetView topLeftCell="A6"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7" s="199" customFormat="1" ht="32.25" customHeight="1">
      <c r="A1" s="231" t="str">
        <f>'N7-3'!A1:F1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1161</v>
      </c>
      <c r="B3" s="330"/>
      <c r="C3" s="330"/>
      <c r="D3" s="330"/>
      <c r="E3" s="330"/>
      <c r="F3" s="330"/>
    </row>
    <row r="4" spans="1:7" s="335" customFormat="1" ht="20.25" customHeight="1">
      <c r="A4" s="377" t="s">
        <v>1172</v>
      </c>
      <c r="B4" s="377"/>
      <c r="C4" s="377"/>
      <c r="D4" s="377"/>
      <c r="E4" s="377"/>
      <c r="F4" s="377"/>
      <c r="G4" s="378"/>
    </row>
    <row r="5" spans="1:7" s="199" customFormat="1" ht="19.5" customHeight="1" thickBot="1">
      <c r="A5" s="379" t="s">
        <v>512</v>
      </c>
      <c r="B5" s="379"/>
      <c r="C5" s="379"/>
      <c r="D5" s="379"/>
      <c r="E5" s="379"/>
      <c r="F5" s="379"/>
      <c r="G5" s="380"/>
    </row>
    <row r="6" spans="1:7" ht="87.6" customHeight="1" thickBot="1">
      <c r="A6" s="381" t="s">
        <v>523</v>
      </c>
      <c r="B6" s="382" t="s">
        <v>524</v>
      </c>
      <c r="C6" s="383" t="s">
        <v>525</v>
      </c>
      <c r="D6" s="384" t="s">
        <v>411</v>
      </c>
      <c r="E6" s="385" t="s">
        <v>526</v>
      </c>
      <c r="F6" s="386" t="s">
        <v>527</v>
      </c>
    </row>
    <row r="7" spans="1:7" ht="16.5" thickBot="1">
      <c r="A7" s="387">
        <v>1</v>
      </c>
      <c r="B7" s="388">
        <v>2</v>
      </c>
      <c r="C7" s="389">
        <v>3</v>
      </c>
      <c r="D7" s="390" t="s">
        <v>488</v>
      </c>
      <c r="E7" s="391" t="s">
        <v>513</v>
      </c>
      <c r="F7" s="392" t="s">
        <v>515</v>
      </c>
    </row>
    <row r="8" spans="1:7" s="397" customFormat="1" ht="73.5" customHeight="1">
      <c r="A8" s="393" t="s">
        <v>5</v>
      </c>
      <c r="B8" s="394" t="s">
        <v>1069</v>
      </c>
      <c r="C8" s="393" t="s">
        <v>674</v>
      </c>
      <c r="D8" s="395">
        <v>1</v>
      </c>
      <c r="E8" s="615"/>
      <c r="F8" s="615"/>
    </row>
    <row r="9" spans="1:7" s="397" customFormat="1" ht="53.25" customHeight="1">
      <c r="A9" s="393" t="s">
        <v>7</v>
      </c>
      <c r="B9" s="394" t="s">
        <v>1173</v>
      </c>
      <c r="C9" s="393" t="s">
        <v>674</v>
      </c>
      <c r="D9" s="395">
        <v>1</v>
      </c>
      <c r="E9" s="615"/>
      <c r="F9" s="615"/>
    </row>
    <row r="10" spans="1:7" s="398" customFormat="1" ht="13.5">
      <c r="A10" s="393" t="s">
        <v>487</v>
      </c>
      <c r="B10" s="394" t="s">
        <v>681</v>
      </c>
      <c r="C10" s="393" t="s">
        <v>674</v>
      </c>
      <c r="D10" s="395">
        <v>22</v>
      </c>
      <c r="E10" s="615"/>
      <c r="F10" s="615"/>
    </row>
    <row r="11" spans="1:7" s="397" customFormat="1" ht="30.75" customHeight="1">
      <c r="A11" s="393" t="s">
        <v>488</v>
      </c>
      <c r="B11" s="394" t="s">
        <v>682</v>
      </c>
      <c r="C11" s="393" t="s">
        <v>674</v>
      </c>
      <c r="D11" s="395">
        <v>22</v>
      </c>
      <c r="E11" s="615"/>
      <c r="F11" s="615"/>
    </row>
    <row r="12" spans="1:7" s="398" customFormat="1" ht="52.5" customHeight="1">
      <c r="A12" s="393" t="s">
        <v>513</v>
      </c>
      <c r="B12" s="394" t="s">
        <v>683</v>
      </c>
      <c r="C12" s="393" t="s">
        <v>674</v>
      </c>
      <c r="D12" s="395">
        <v>1</v>
      </c>
      <c r="E12" s="615"/>
      <c r="F12" s="615"/>
    </row>
    <row r="13" spans="1:7" s="398" customFormat="1" ht="22.5" customHeight="1">
      <c r="A13" s="393" t="s">
        <v>515</v>
      </c>
      <c r="B13" s="394" t="s">
        <v>1174</v>
      </c>
      <c r="C13" s="393" t="s">
        <v>674</v>
      </c>
      <c r="D13" s="395">
        <v>1</v>
      </c>
      <c r="E13" s="615"/>
      <c r="F13" s="615"/>
    </row>
    <row r="14" spans="1:7" s="398" customFormat="1" ht="22.5" customHeight="1">
      <c r="A14" s="393" t="s">
        <v>675</v>
      </c>
      <c r="B14" s="394" t="s">
        <v>685</v>
      </c>
      <c r="C14" s="393" t="s">
        <v>674</v>
      </c>
      <c r="D14" s="395">
        <v>12</v>
      </c>
      <c r="E14" s="615"/>
      <c r="F14" s="615"/>
      <c r="G14" s="399"/>
    </row>
    <row r="15" spans="1:7" s="398" customFormat="1" ht="22.5" customHeight="1">
      <c r="A15" s="393" t="s">
        <v>686</v>
      </c>
      <c r="B15" s="394" t="s">
        <v>687</v>
      </c>
      <c r="C15" s="393" t="s">
        <v>674</v>
      </c>
      <c r="D15" s="395">
        <v>0</v>
      </c>
      <c r="E15" s="615"/>
      <c r="F15" s="615"/>
    </row>
    <row r="16" spans="1:7" s="398" customFormat="1" ht="20.25" customHeight="1">
      <c r="A16" s="393" t="s">
        <v>688</v>
      </c>
      <c r="B16" s="394" t="s">
        <v>689</v>
      </c>
      <c r="C16" s="393" t="s">
        <v>674</v>
      </c>
      <c r="D16" s="395">
        <v>2</v>
      </c>
      <c r="E16" s="615"/>
      <c r="F16" s="615"/>
    </row>
    <row r="17" spans="1:6" ht="38.25">
      <c r="A17" s="393" t="s">
        <v>690</v>
      </c>
      <c r="B17" s="394" t="s">
        <v>1073</v>
      </c>
      <c r="C17" s="393" t="s">
        <v>674</v>
      </c>
      <c r="D17" s="395">
        <v>3</v>
      </c>
      <c r="E17" s="615"/>
      <c r="F17" s="615"/>
    </row>
    <row r="18" spans="1:6" ht="25.5">
      <c r="A18" s="393" t="s">
        <v>692</v>
      </c>
      <c r="B18" s="394" t="s">
        <v>693</v>
      </c>
      <c r="C18" s="393" t="s">
        <v>674</v>
      </c>
      <c r="D18" s="395">
        <v>3</v>
      </c>
      <c r="E18" s="615"/>
      <c r="F18" s="615"/>
    </row>
    <row r="19" spans="1:6" ht="242.25">
      <c r="A19" s="393" t="s">
        <v>694</v>
      </c>
      <c r="B19" s="394" t="s">
        <v>1175</v>
      </c>
      <c r="C19" s="393" t="s">
        <v>667</v>
      </c>
      <c r="D19" s="395">
        <v>4</v>
      </c>
      <c r="E19" s="615"/>
      <c r="F19" s="615"/>
    </row>
    <row r="20" spans="1:6">
      <c r="A20" s="393" t="s">
        <v>696</v>
      </c>
      <c r="B20" s="410" t="s">
        <v>676</v>
      </c>
      <c r="C20" s="393" t="s">
        <v>667</v>
      </c>
      <c r="D20" s="395">
        <v>1</v>
      </c>
      <c r="E20" s="615"/>
      <c r="F20" s="615"/>
    </row>
    <row r="21" spans="1:6" ht="51">
      <c r="A21" s="393" t="s">
        <v>697</v>
      </c>
      <c r="B21" s="394" t="s">
        <v>890</v>
      </c>
      <c r="C21" s="393" t="s">
        <v>667</v>
      </c>
      <c r="D21" s="395">
        <v>1</v>
      </c>
      <c r="E21" s="615"/>
      <c r="F21" s="615"/>
    </row>
    <row r="22" spans="1:6">
      <c r="A22" s="393" t="s">
        <v>699</v>
      </c>
      <c r="B22" s="410" t="s">
        <v>676</v>
      </c>
      <c r="C22" s="393" t="s">
        <v>667</v>
      </c>
      <c r="D22" s="395">
        <v>1</v>
      </c>
      <c r="E22" s="615"/>
      <c r="F22" s="615"/>
    </row>
    <row r="23" spans="1:6" ht="89.25">
      <c r="A23" s="393" t="s">
        <v>700</v>
      </c>
      <c r="B23" s="394" t="s">
        <v>701</v>
      </c>
      <c r="C23" s="393" t="s">
        <v>667</v>
      </c>
      <c r="D23" s="395">
        <v>1</v>
      </c>
      <c r="E23" s="615"/>
      <c r="F23" s="615"/>
    </row>
    <row r="24" spans="1:6" s="398" customFormat="1" ht="22.5" customHeight="1">
      <c r="A24" s="400">
        <v>17</v>
      </c>
      <c r="B24" s="401" t="s">
        <v>702</v>
      </c>
      <c r="C24" s="393" t="s">
        <v>667</v>
      </c>
      <c r="D24" s="402">
        <v>1</v>
      </c>
      <c r="E24" s="403"/>
      <c r="F24" s="396"/>
    </row>
    <row r="25" spans="1:6" s="398" customFormat="1" ht="20.25" customHeight="1">
      <c r="A25" s="404"/>
      <c r="B25" s="404" t="s">
        <v>407</v>
      </c>
      <c r="C25" s="404"/>
      <c r="D25" s="405"/>
      <c r="E25" s="406"/>
      <c r="F25" s="407">
        <f>SUM(F8:F24)</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13"/>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7" s="199" customFormat="1" ht="32.25" customHeight="1">
      <c r="A1" s="231" t="str">
        <f>'N7-4'!A1:F1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1161</v>
      </c>
      <c r="B3" s="330"/>
      <c r="C3" s="330"/>
      <c r="D3" s="330"/>
      <c r="E3" s="330"/>
      <c r="F3" s="330"/>
    </row>
    <row r="4" spans="1:7" s="335" customFormat="1" ht="20.25" customHeight="1">
      <c r="A4" s="377" t="s">
        <v>1176</v>
      </c>
      <c r="B4" s="377"/>
      <c r="C4" s="377"/>
      <c r="D4" s="377"/>
      <c r="E4" s="377"/>
      <c r="F4" s="377"/>
      <c r="G4" s="378"/>
    </row>
    <row r="5" spans="1:7" s="199" customFormat="1" ht="19.5" customHeight="1" thickBot="1">
      <c r="A5" s="379" t="s">
        <v>514</v>
      </c>
      <c r="B5" s="379"/>
      <c r="C5" s="379"/>
      <c r="D5" s="379"/>
      <c r="E5" s="379"/>
      <c r="F5" s="379"/>
      <c r="G5" s="380"/>
    </row>
    <row r="6" spans="1:7" ht="87.6" customHeight="1">
      <c r="A6" s="381" t="s">
        <v>523</v>
      </c>
      <c r="B6" s="382" t="s">
        <v>524</v>
      </c>
      <c r="C6" s="383" t="s">
        <v>525</v>
      </c>
      <c r="D6" s="384" t="s">
        <v>411</v>
      </c>
      <c r="E6" s="385" t="s">
        <v>526</v>
      </c>
      <c r="F6" s="386" t="s">
        <v>527</v>
      </c>
    </row>
    <row r="7" spans="1:7">
      <c r="A7" s="411">
        <v>1</v>
      </c>
      <c r="B7" s="411">
        <v>2</v>
      </c>
      <c r="C7" s="412">
        <v>3</v>
      </c>
      <c r="D7" s="413" t="s">
        <v>488</v>
      </c>
      <c r="E7" s="414" t="s">
        <v>513</v>
      </c>
      <c r="F7" s="413" t="s">
        <v>515</v>
      </c>
    </row>
    <row r="8" spans="1:7" s="397" customFormat="1" ht="28.5" customHeight="1">
      <c r="A8" s="393" t="s">
        <v>5</v>
      </c>
      <c r="B8" s="415" t="s">
        <v>704</v>
      </c>
      <c r="C8" s="416" t="s">
        <v>705</v>
      </c>
      <c r="D8" s="417">
        <v>295</v>
      </c>
      <c r="E8" s="418"/>
      <c r="F8" s="419"/>
    </row>
    <row r="9" spans="1:7" s="397" customFormat="1" ht="21.75" customHeight="1">
      <c r="A9" s="393" t="s">
        <v>7</v>
      </c>
      <c r="B9" s="420" t="s">
        <v>706</v>
      </c>
      <c r="C9" s="393" t="s">
        <v>707</v>
      </c>
      <c r="D9" s="417">
        <v>240</v>
      </c>
      <c r="E9" s="421"/>
      <c r="F9" s="419"/>
    </row>
    <row r="10" spans="1:7" s="398" customFormat="1" ht="42" customHeight="1">
      <c r="A10" s="393" t="s">
        <v>487</v>
      </c>
      <c r="B10" s="420" t="s">
        <v>708</v>
      </c>
      <c r="C10" s="393" t="s">
        <v>709</v>
      </c>
      <c r="D10" s="395">
        <v>55</v>
      </c>
      <c r="E10" s="396"/>
      <c r="F10" s="396"/>
    </row>
    <row r="11" spans="1:7" s="397" customFormat="1" ht="28.5" customHeight="1">
      <c r="A11" s="422">
        <f t="shared" ref="A11:A74" si="0">A10+1</f>
        <v>4</v>
      </c>
      <c r="B11" s="394" t="s">
        <v>710</v>
      </c>
      <c r="C11" s="393" t="s">
        <v>711</v>
      </c>
      <c r="D11" s="395">
        <v>350</v>
      </c>
      <c r="E11" s="396"/>
      <c r="F11" s="396"/>
    </row>
    <row r="12" spans="1:7" s="397" customFormat="1" ht="21.75" customHeight="1">
      <c r="A12" s="422">
        <f t="shared" si="0"/>
        <v>5</v>
      </c>
      <c r="B12" s="394" t="s">
        <v>712</v>
      </c>
      <c r="C12" s="393" t="s">
        <v>711</v>
      </c>
      <c r="D12" s="395">
        <v>5</v>
      </c>
      <c r="E12" s="396"/>
      <c r="F12" s="396"/>
    </row>
    <row r="13" spans="1:7" s="398" customFormat="1" ht="21.75" customHeight="1">
      <c r="A13" s="422">
        <f t="shared" si="0"/>
        <v>6</v>
      </c>
      <c r="B13" s="394" t="s">
        <v>713</v>
      </c>
      <c r="C13" s="393" t="s">
        <v>711</v>
      </c>
      <c r="D13" s="395">
        <v>30</v>
      </c>
      <c r="E13" s="396"/>
      <c r="F13" s="396"/>
    </row>
    <row r="14" spans="1:7" s="397" customFormat="1" ht="21.75" customHeight="1">
      <c r="A14" s="422">
        <f t="shared" si="0"/>
        <v>7</v>
      </c>
      <c r="B14" s="394" t="s">
        <v>714</v>
      </c>
      <c r="C14" s="393" t="s">
        <v>711</v>
      </c>
      <c r="D14" s="395">
        <v>20</v>
      </c>
      <c r="E14" s="396"/>
      <c r="F14" s="396"/>
    </row>
    <row r="15" spans="1:7" s="398" customFormat="1" ht="21.75" customHeight="1">
      <c r="A15" s="422">
        <f t="shared" si="0"/>
        <v>8</v>
      </c>
      <c r="B15" s="394" t="s">
        <v>715</v>
      </c>
      <c r="C15" s="393" t="s">
        <v>51</v>
      </c>
      <c r="D15" s="395">
        <v>1</v>
      </c>
      <c r="E15" s="396"/>
      <c r="F15" s="396"/>
    </row>
    <row r="16" spans="1:7" s="398" customFormat="1" ht="21.75" customHeight="1">
      <c r="A16" s="422">
        <f t="shared" si="0"/>
        <v>9</v>
      </c>
      <c r="B16" s="394" t="s">
        <v>716</v>
      </c>
      <c r="C16" s="393" t="s">
        <v>51</v>
      </c>
      <c r="D16" s="395">
        <v>50</v>
      </c>
      <c r="E16" s="396"/>
      <c r="F16" s="396"/>
    </row>
    <row r="17" spans="1:6" s="398" customFormat="1" ht="21.75" customHeight="1">
      <c r="A17" s="422">
        <f t="shared" si="0"/>
        <v>10</v>
      </c>
      <c r="B17" s="394" t="s">
        <v>717</v>
      </c>
      <c r="C17" s="393" t="s">
        <v>51</v>
      </c>
      <c r="D17" s="423">
        <v>33.333333333333336</v>
      </c>
      <c r="E17" s="396"/>
      <c r="F17" s="396"/>
    </row>
    <row r="18" spans="1:6" ht="21.75" customHeight="1">
      <c r="A18" s="422">
        <f t="shared" si="0"/>
        <v>11</v>
      </c>
      <c r="B18" s="394" t="s">
        <v>718</v>
      </c>
      <c r="C18" s="393" t="s">
        <v>711</v>
      </c>
      <c r="D18" s="395">
        <v>5</v>
      </c>
      <c r="E18" s="396"/>
      <c r="F18" s="396"/>
    </row>
    <row r="19" spans="1:6" ht="21.75" customHeight="1">
      <c r="A19" s="422">
        <f t="shared" si="0"/>
        <v>12</v>
      </c>
      <c r="B19" s="394" t="s">
        <v>1177</v>
      </c>
      <c r="C19" s="393" t="s">
        <v>711</v>
      </c>
      <c r="D19" s="395">
        <v>30</v>
      </c>
      <c r="E19" s="396"/>
      <c r="F19" s="396"/>
    </row>
    <row r="20" spans="1:6" ht="21.75" customHeight="1">
      <c r="A20" s="422">
        <f t="shared" si="0"/>
        <v>13</v>
      </c>
      <c r="B20" s="394" t="s">
        <v>1178</v>
      </c>
      <c r="C20" s="393" t="s">
        <v>711</v>
      </c>
      <c r="D20" s="395">
        <v>20</v>
      </c>
      <c r="E20" s="396"/>
      <c r="F20" s="396"/>
    </row>
    <row r="21" spans="1:6" ht="21.75" customHeight="1">
      <c r="A21" s="422">
        <f t="shared" si="0"/>
        <v>14</v>
      </c>
      <c r="B21" s="394" t="s">
        <v>721</v>
      </c>
      <c r="C21" s="393" t="s">
        <v>711</v>
      </c>
      <c r="D21" s="395">
        <v>26</v>
      </c>
      <c r="E21" s="396"/>
      <c r="F21" s="396"/>
    </row>
    <row r="22" spans="1:6" ht="21.75" customHeight="1">
      <c r="A22" s="422">
        <f t="shared" si="0"/>
        <v>15</v>
      </c>
      <c r="B22" s="394" t="s">
        <v>1179</v>
      </c>
      <c r="C22" s="393" t="s">
        <v>711</v>
      </c>
      <c r="D22" s="395">
        <v>18</v>
      </c>
      <c r="E22" s="396"/>
      <c r="F22" s="396"/>
    </row>
    <row r="23" spans="1:6" ht="21.75" customHeight="1">
      <c r="A23" s="422">
        <f t="shared" si="0"/>
        <v>16</v>
      </c>
      <c r="B23" s="394" t="s">
        <v>723</v>
      </c>
      <c r="C23" s="393" t="s">
        <v>51</v>
      </c>
      <c r="D23" s="395">
        <v>1</v>
      </c>
      <c r="E23" s="396"/>
      <c r="F23" s="396"/>
    </row>
    <row r="24" spans="1:6" ht="21.75" customHeight="1">
      <c r="A24" s="422">
        <f t="shared" si="0"/>
        <v>17</v>
      </c>
      <c r="B24" s="394" t="s">
        <v>724</v>
      </c>
      <c r="C24" s="393" t="s">
        <v>51</v>
      </c>
      <c r="D24" s="423">
        <v>43.333333333333336</v>
      </c>
      <c r="E24" s="396"/>
      <c r="F24" s="396"/>
    </row>
    <row r="25" spans="1:6" ht="21.75" customHeight="1">
      <c r="A25" s="422">
        <f t="shared" si="0"/>
        <v>18</v>
      </c>
      <c r="B25" s="394" t="s">
        <v>725</v>
      </c>
      <c r="C25" s="393" t="s">
        <v>51</v>
      </c>
      <c r="D25" s="395">
        <v>30</v>
      </c>
      <c r="E25" s="396"/>
      <c r="F25" s="396"/>
    </row>
    <row r="26" spans="1:6" ht="21.75" customHeight="1">
      <c r="A26" s="422">
        <f t="shared" si="0"/>
        <v>19</v>
      </c>
      <c r="B26" s="394" t="s">
        <v>726</v>
      </c>
      <c r="C26" s="393" t="s">
        <v>711</v>
      </c>
      <c r="D26" s="395">
        <v>26</v>
      </c>
      <c r="E26" s="396"/>
      <c r="F26" s="396"/>
    </row>
    <row r="27" spans="1:6" ht="21.75" customHeight="1">
      <c r="A27" s="422">
        <f t="shared" si="0"/>
        <v>20</v>
      </c>
      <c r="B27" s="394" t="s">
        <v>727</v>
      </c>
      <c r="C27" s="393" t="s">
        <v>711</v>
      </c>
      <c r="D27" s="395">
        <v>18</v>
      </c>
      <c r="E27" s="396"/>
      <c r="F27" s="396"/>
    </row>
    <row r="28" spans="1:6" ht="21.75" customHeight="1">
      <c r="A28" s="422">
        <f t="shared" si="0"/>
        <v>21</v>
      </c>
      <c r="B28" s="394" t="s">
        <v>728</v>
      </c>
      <c r="C28" s="393" t="s">
        <v>51</v>
      </c>
      <c r="D28" s="395">
        <v>3</v>
      </c>
      <c r="E28" s="396"/>
      <c r="F28" s="396"/>
    </row>
    <row r="29" spans="1:6" ht="21.75" customHeight="1">
      <c r="A29" s="422">
        <f t="shared" si="0"/>
        <v>22</v>
      </c>
      <c r="B29" s="394" t="s">
        <v>729</v>
      </c>
      <c r="C29" s="393" t="s">
        <v>51</v>
      </c>
      <c r="D29" s="395">
        <v>4</v>
      </c>
      <c r="E29" s="396"/>
      <c r="F29" s="396"/>
    </row>
    <row r="30" spans="1:6" ht="21.75" customHeight="1">
      <c r="A30" s="422">
        <f t="shared" si="0"/>
        <v>23</v>
      </c>
      <c r="B30" s="394" t="s">
        <v>730</v>
      </c>
      <c r="C30" s="393" t="s">
        <v>51</v>
      </c>
      <c r="D30" s="395">
        <v>20</v>
      </c>
      <c r="E30" s="396"/>
      <c r="F30" s="396"/>
    </row>
    <row r="31" spans="1:6" ht="21.75" customHeight="1">
      <c r="A31" s="422">
        <f t="shared" si="0"/>
        <v>24</v>
      </c>
      <c r="B31" s="394" t="s">
        <v>731</v>
      </c>
      <c r="C31" s="393" t="s">
        <v>51</v>
      </c>
      <c r="D31" s="395">
        <v>30</v>
      </c>
      <c r="E31" s="396"/>
      <c r="F31" s="396"/>
    </row>
    <row r="32" spans="1:6" ht="21.75" customHeight="1">
      <c r="A32" s="422">
        <f t="shared" si="0"/>
        <v>25</v>
      </c>
      <c r="B32" s="394" t="s">
        <v>732</v>
      </c>
      <c r="C32" s="393" t="s">
        <v>51</v>
      </c>
      <c r="D32" s="395">
        <v>30</v>
      </c>
      <c r="E32" s="396"/>
      <c r="F32" s="396"/>
    </row>
    <row r="33" spans="1:6" ht="21.75" customHeight="1">
      <c r="A33" s="422">
        <f t="shared" si="0"/>
        <v>26</v>
      </c>
      <c r="B33" s="394" t="s">
        <v>1180</v>
      </c>
      <c r="C33" s="393" t="s">
        <v>51</v>
      </c>
      <c r="D33" s="395">
        <v>4</v>
      </c>
      <c r="E33" s="396"/>
      <c r="F33" s="396"/>
    </row>
    <row r="34" spans="1:6" ht="21.75" customHeight="1">
      <c r="A34" s="422">
        <f t="shared" si="0"/>
        <v>27</v>
      </c>
      <c r="B34" s="394" t="s">
        <v>734</v>
      </c>
      <c r="C34" s="393" t="s">
        <v>51</v>
      </c>
      <c r="D34" s="395">
        <v>5</v>
      </c>
      <c r="E34" s="396"/>
      <c r="F34" s="396"/>
    </row>
    <row r="35" spans="1:6" ht="21.75" customHeight="1">
      <c r="A35" s="422">
        <f t="shared" si="0"/>
        <v>28</v>
      </c>
      <c r="B35" s="394" t="s">
        <v>735</v>
      </c>
      <c r="C35" s="393" t="s">
        <v>51</v>
      </c>
      <c r="D35" s="395">
        <v>10</v>
      </c>
      <c r="E35" s="396"/>
      <c r="F35" s="396"/>
    </row>
    <row r="36" spans="1:6" ht="21.75" customHeight="1">
      <c r="A36" s="422">
        <f t="shared" si="0"/>
        <v>29</v>
      </c>
      <c r="B36" s="394" t="s">
        <v>736</v>
      </c>
      <c r="C36" s="393" t="s">
        <v>51</v>
      </c>
      <c r="D36" s="395">
        <v>10</v>
      </c>
      <c r="E36" s="396"/>
      <c r="F36" s="396"/>
    </row>
    <row r="37" spans="1:6" ht="21.75" customHeight="1">
      <c r="A37" s="422">
        <f t="shared" si="0"/>
        <v>30</v>
      </c>
      <c r="B37" s="394" t="s">
        <v>737</v>
      </c>
      <c r="C37" s="393" t="s">
        <v>51</v>
      </c>
      <c r="D37" s="395">
        <v>2</v>
      </c>
      <c r="E37" s="396"/>
      <c r="F37" s="396"/>
    </row>
    <row r="38" spans="1:6" ht="21.75" customHeight="1">
      <c r="A38" s="422">
        <f t="shared" si="0"/>
        <v>31</v>
      </c>
      <c r="B38" s="394" t="s">
        <v>738</v>
      </c>
      <c r="C38" s="393" t="s">
        <v>51</v>
      </c>
      <c r="D38" s="395">
        <v>4</v>
      </c>
      <c r="E38" s="396"/>
      <c r="F38" s="396"/>
    </row>
    <row r="39" spans="1:6" ht="21.75" customHeight="1">
      <c r="A39" s="422">
        <f t="shared" si="0"/>
        <v>32</v>
      </c>
      <c r="B39" s="394" t="s">
        <v>739</v>
      </c>
      <c r="C39" s="393" t="s">
        <v>51</v>
      </c>
      <c r="D39" s="395">
        <v>15</v>
      </c>
      <c r="E39" s="396"/>
      <c r="F39" s="396"/>
    </row>
    <row r="40" spans="1:6" ht="21.75" customHeight="1">
      <c r="A40" s="422">
        <f t="shared" si="0"/>
        <v>33</v>
      </c>
      <c r="B40" s="394" t="s">
        <v>740</v>
      </c>
      <c r="C40" s="393" t="s">
        <v>51</v>
      </c>
      <c r="D40" s="395">
        <v>10</v>
      </c>
      <c r="E40" s="396"/>
      <c r="F40" s="396"/>
    </row>
    <row r="41" spans="1:6" ht="21.75" customHeight="1">
      <c r="A41" s="422">
        <f t="shared" si="0"/>
        <v>34</v>
      </c>
      <c r="B41" s="394" t="s">
        <v>741</v>
      </c>
      <c r="C41" s="393" t="s">
        <v>51</v>
      </c>
      <c r="D41" s="395">
        <v>15</v>
      </c>
      <c r="E41" s="396"/>
      <c r="F41" s="396"/>
    </row>
    <row r="42" spans="1:6" ht="21.75" customHeight="1">
      <c r="A42" s="422">
        <f t="shared" si="0"/>
        <v>35</v>
      </c>
      <c r="B42" s="394" t="s">
        <v>742</v>
      </c>
      <c r="C42" s="393" t="s">
        <v>51</v>
      </c>
      <c r="D42" s="395">
        <v>4</v>
      </c>
      <c r="E42" s="396"/>
      <c r="F42" s="396"/>
    </row>
    <row r="43" spans="1:6" ht="21.75" customHeight="1">
      <c r="A43" s="422">
        <f t="shared" si="0"/>
        <v>36</v>
      </c>
      <c r="B43" s="394" t="s">
        <v>743</v>
      </c>
      <c r="C43" s="393" t="s">
        <v>51</v>
      </c>
      <c r="D43" s="395">
        <v>10</v>
      </c>
      <c r="E43" s="396"/>
      <c r="F43" s="396"/>
    </row>
    <row r="44" spans="1:6" ht="21.75" customHeight="1">
      <c r="A44" s="422">
        <f t="shared" si="0"/>
        <v>37</v>
      </c>
      <c r="B44" s="394" t="s">
        <v>744</v>
      </c>
      <c r="C44" s="393" t="s">
        <v>51</v>
      </c>
      <c r="D44" s="395">
        <v>10</v>
      </c>
      <c r="E44" s="396"/>
      <c r="F44" s="396"/>
    </row>
    <row r="45" spans="1:6" ht="21.75" customHeight="1">
      <c r="A45" s="422">
        <f t="shared" si="0"/>
        <v>38</v>
      </c>
      <c r="B45" s="394" t="s">
        <v>745</v>
      </c>
      <c r="C45" s="393" t="s">
        <v>51</v>
      </c>
      <c r="D45" s="395">
        <v>20</v>
      </c>
      <c r="E45" s="396"/>
      <c r="F45" s="396"/>
    </row>
    <row r="46" spans="1:6" ht="21.75" customHeight="1">
      <c r="A46" s="422">
        <f t="shared" si="0"/>
        <v>39</v>
      </c>
      <c r="B46" s="394" t="s">
        <v>746</v>
      </c>
      <c r="C46" s="393" t="s">
        <v>51</v>
      </c>
      <c r="D46" s="395">
        <v>20</v>
      </c>
      <c r="E46" s="396"/>
      <c r="F46" s="396"/>
    </row>
    <row r="47" spans="1:6" ht="21.75" customHeight="1">
      <c r="A47" s="422">
        <f t="shared" si="0"/>
        <v>40</v>
      </c>
      <c r="B47" s="394" t="s">
        <v>747</v>
      </c>
      <c r="C47" s="393" t="s">
        <v>51</v>
      </c>
      <c r="D47" s="395">
        <v>15</v>
      </c>
      <c r="E47" s="396"/>
      <c r="F47" s="396"/>
    </row>
    <row r="48" spans="1:6" ht="21.75" customHeight="1">
      <c r="A48" s="422">
        <f t="shared" si="0"/>
        <v>41</v>
      </c>
      <c r="B48" s="394" t="s">
        <v>748</v>
      </c>
      <c r="C48" s="393" t="s">
        <v>51</v>
      </c>
      <c r="D48" s="395">
        <v>40</v>
      </c>
      <c r="E48" s="396"/>
      <c r="F48" s="396"/>
    </row>
    <row r="49" spans="1:6" ht="21.75" customHeight="1">
      <c r="A49" s="422">
        <f t="shared" si="0"/>
        <v>42</v>
      </c>
      <c r="B49" s="394" t="s">
        <v>749</v>
      </c>
      <c r="C49" s="393" t="s">
        <v>51</v>
      </c>
      <c r="D49" s="395">
        <v>30</v>
      </c>
      <c r="E49" s="396"/>
      <c r="F49" s="396"/>
    </row>
    <row r="50" spans="1:6" ht="21.75" customHeight="1">
      <c r="A50" s="422">
        <f t="shared" si="0"/>
        <v>43</v>
      </c>
      <c r="B50" s="394" t="s">
        <v>750</v>
      </c>
      <c r="C50" s="393" t="s">
        <v>51</v>
      </c>
      <c r="D50" s="395">
        <v>5</v>
      </c>
      <c r="E50" s="396"/>
      <c r="F50" s="396"/>
    </row>
    <row r="51" spans="1:6" ht="21.75" customHeight="1">
      <c r="A51" s="422">
        <f t="shared" si="0"/>
        <v>44</v>
      </c>
      <c r="B51" s="394" t="s">
        <v>751</v>
      </c>
      <c r="C51" s="393" t="s">
        <v>51</v>
      </c>
      <c r="D51" s="395">
        <v>20</v>
      </c>
      <c r="E51" s="396"/>
      <c r="F51" s="396"/>
    </row>
    <row r="52" spans="1:6" ht="21.75" customHeight="1">
      <c r="A52" s="422">
        <f t="shared" si="0"/>
        <v>45</v>
      </c>
      <c r="B52" s="394" t="s">
        <v>752</v>
      </c>
      <c r="C52" s="393" t="s">
        <v>51</v>
      </c>
      <c r="D52" s="395">
        <v>15</v>
      </c>
      <c r="E52" s="396"/>
      <c r="F52" s="396"/>
    </row>
    <row r="53" spans="1:6" ht="21.75" customHeight="1">
      <c r="A53" s="422">
        <f t="shared" si="0"/>
        <v>46</v>
      </c>
      <c r="B53" s="394" t="s">
        <v>753</v>
      </c>
      <c r="C53" s="393" t="s">
        <v>51</v>
      </c>
      <c r="D53" s="395">
        <v>15</v>
      </c>
      <c r="E53" s="396"/>
      <c r="F53" s="396"/>
    </row>
    <row r="54" spans="1:6" ht="21.75" customHeight="1">
      <c r="A54" s="422">
        <f t="shared" si="0"/>
        <v>47</v>
      </c>
      <c r="B54" s="394" t="s">
        <v>754</v>
      </c>
      <c r="C54" s="393" t="s">
        <v>51</v>
      </c>
      <c r="D54" s="395">
        <v>15</v>
      </c>
      <c r="E54" s="396"/>
      <c r="F54" s="396"/>
    </row>
    <row r="55" spans="1:6" ht="21.75" customHeight="1">
      <c r="A55" s="422">
        <f t="shared" si="0"/>
        <v>48</v>
      </c>
      <c r="B55" s="394" t="s">
        <v>1181</v>
      </c>
      <c r="C55" s="393" t="s">
        <v>51</v>
      </c>
      <c r="D55" s="395">
        <v>10</v>
      </c>
      <c r="E55" s="396"/>
      <c r="F55" s="396"/>
    </row>
    <row r="56" spans="1:6" ht="21.75" customHeight="1">
      <c r="A56" s="422">
        <f t="shared" si="0"/>
        <v>49</v>
      </c>
      <c r="B56" s="394" t="s">
        <v>756</v>
      </c>
      <c r="C56" s="393" t="s">
        <v>51</v>
      </c>
      <c r="D56" s="395">
        <v>2</v>
      </c>
      <c r="E56" s="396"/>
      <c r="F56" s="396"/>
    </row>
    <row r="57" spans="1:6" ht="21.75" customHeight="1">
      <c r="A57" s="422">
        <f t="shared" si="0"/>
        <v>50</v>
      </c>
      <c r="B57" s="394" t="s">
        <v>757</v>
      </c>
      <c r="C57" s="393" t="s">
        <v>51</v>
      </c>
      <c r="D57" s="395">
        <v>4</v>
      </c>
      <c r="E57" s="396"/>
      <c r="F57" s="396"/>
    </row>
    <row r="58" spans="1:6" ht="21.75" customHeight="1">
      <c r="A58" s="422">
        <f t="shared" si="0"/>
        <v>51</v>
      </c>
      <c r="B58" s="394" t="s">
        <v>758</v>
      </c>
      <c r="C58" s="393" t="s">
        <v>51</v>
      </c>
      <c r="D58" s="395">
        <v>5</v>
      </c>
      <c r="E58" s="396"/>
      <c r="F58" s="396"/>
    </row>
    <row r="59" spans="1:6" ht="21.75" customHeight="1">
      <c r="A59" s="422">
        <f t="shared" si="0"/>
        <v>52</v>
      </c>
      <c r="B59" s="394" t="s">
        <v>759</v>
      </c>
      <c r="C59" s="393" t="s">
        <v>51</v>
      </c>
      <c r="D59" s="395">
        <v>8</v>
      </c>
      <c r="E59" s="396"/>
      <c r="F59" s="396"/>
    </row>
    <row r="60" spans="1:6" ht="21.75" customHeight="1">
      <c r="A60" s="422">
        <f t="shared" si="0"/>
        <v>53</v>
      </c>
      <c r="B60" s="394" t="s">
        <v>760</v>
      </c>
      <c r="C60" s="393" t="s">
        <v>51</v>
      </c>
      <c r="D60" s="395">
        <v>5</v>
      </c>
      <c r="E60" s="396"/>
      <c r="F60" s="396"/>
    </row>
    <row r="61" spans="1:6" ht="21.75" customHeight="1">
      <c r="A61" s="422">
        <f t="shared" si="0"/>
        <v>54</v>
      </c>
      <c r="B61" s="394" t="s">
        <v>761</v>
      </c>
      <c r="C61" s="393" t="s">
        <v>51</v>
      </c>
      <c r="D61" s="395">
        <v>1</v>
      </c>
      <c r="E61" s="396"/>
      <c r="F61" s="396"/>
    </row>
    <row r="62" spans="1:6" ht="21.75" customHeight="1">
      <c r="A62" s="422">
        <f t="shared" si="0"/>
        <v>55</v>
      </c>
      <c r="B62" s="394" t="s">
        <v>926</v>
      </c>
      <c r="C62" s="393" t="s">
        <v>51</v>
      </c>
      <c r="D62" s="395">
        <v>8</v>
      </c>
      <c r="E62" s="396"/>
      <c r="F62" s="396"/>
    </row>
    <row r="63" spans="1:6" ht="21.75" customHeight="1">
      <c r="A63" s="422">
        <f t="shared" si="0"/>
        <v>56</v>
      </c>
      <c r="B63" s="394" t="s">
        <v>979</v>
      </c>
      <c r="C63" s="393" t="s">
        <v>51</v>
      </c>
      <c r="D63" s="395">
        <v>16</v>
      </c>
      <c r="E63" s="396"/>
      <c r="F63" s="396"/>
    </row>
    <row r="64" spans="1:6" ht="21.75" customHeight="1">
      <c r="A64" s="422">
        <f t="shared" si="0"/>
        <v>57</v>
      </c>
      <c r="B64" s="394" t="s">
        <v>980</v>
      </c>
      <c r="C64" s="393" t="s">
        <v>51</v>
      </c>
      <c r="D64" s="395">
        <v>4</v>
      </c>
      <c r="E64" s="396"/>
      <c r="F64" s="396"/>
    </row>
    <row r="65" spans="1:6" ht="21.75" customHeight="1">
      <c r="A65" s="422">
        <f t="shared" si="0"/>
        <v>58</v>
      </c>
      <c r="B65" s="394" t="s">
        <v>1182</v>
      </c>
      <c r="C65" s="393" t="s">
        <v>51</v>
      </c>
      <c r="D65" s="395">
        <v>2</v>
      </c>
      <c r="E65" s="396"/>
      <c r="F65" s="396"/>
    </row>
    <row r="66" spans="1:6" ht="21.75" customHeight="1">
      <c r="A66" s="422">
        <f t="shared" si="0"/>
        <v>59</v>
      </c>
      <c r="B66" s="394" t="s">
        <v>981</v>
      </c>
      <c r="C66" s="393" t="s">
        <v>51</v>
      </c>
      <c r="D66" s="395">
        <v>1</v>
      </c>
      <c r="E66" s="396"/>
      <c r="F66" s="396"/>
    </row>
    <row r="67" spans="1:6" ht="21.75" customHeight="1">
      <c r="A67" s="422">
        <f t="shared" si="0"/>
        <v>60</v>
      </c>
      <c r="B67" s="394" t="s">
        <v>767</v>
      </c>
      <c r="C67" s="393" t="s">
        <v>51</v>
      </c>
      <c r="D67" s="395">
        <v>2</v>
      </c>
      <c r="E67" s="396"/>
      <c r="F67" s="396"/>
    </row>
    <row r="68" spans="1:6" ht="21.75" customHeight="1">
      <c r="A68" s="422">
        <f t="shared" si="0"/>
        <v>61</v>
      </c>
      <c r="B68" s="394" t="s">
        <v>1183</v>
      </c>
      <c r="C68" s="393" t="s">
        <v>711</v>
      </c>
      <c r="D68" s="395">
        <v>2.5</v>
      </c>
      <c r="E68" s="396"/>
      <c r="F68" s="396"/>
    </row>
    <row r="69" spans="1:6" ht="21.75" customHeight="1">
      <c r="A69" s="422">
        <f t="shared" si="0"/>
        <v>62</v>
      </c>
      <c r="B69" s="394" t="s">
        <v>769</v>
      </c>
      <c r="C69" s="393" t="s">
        <v>51</v>
      </c>
      <c r="D69" s="395">
        <v>2</v>
      </c>
      <c r="E69" s="396"/>
      <c r="F69" s="396"/>
    </row>
    <row r="70" spans="1:6" ht="21.75" customHeight="1">
      <c r="A70" s="422">
        <f t="shared" si="0"/>
        <v>63</v>
      </c>
      <c r="B70" s="394" t="s">
        <v>770</v>
      </c>
      <c r="C70" s="393" t="s">
        <v>771</v>
      </c>
      <c r="D70" s="395">
        <v>3</v>
      </c>
      <c r="E70" s="396"/>
      <c r="F70" s="396"/>
    </row>
    <row r="71" spans="1:6" ht="21.75" customHeight="1">
      <c r="A71" s="422">
        <f t="shared" si="0"/>
        <v>64</v>
      </c>
      <c r="B71" s="394" t="s">
        <v>772</v>
      </c>
      <c r="C71" s="393" t="s">
        <v>771</v>
      </c>
      <c r="D71" s="395">
        <v>3</v>
      </c>
      <c r="E71" s="396"/>
      <c r="F71" s="396"/>
    </row>
    <row r="72" spans="1:6" ht="21.75" customHeight="1">
      <c r="A72" s="422">
        <f t="shared" si="0"/>
        <v>65</v>
      </c>
      <c r="B72" s="394" t="s">
        <v>773</v>
      </c>
      <c r="C72" s="393" t="s">
        <v>51</v>
      </c>
      <c r="D72" s="395">
        <v>2</v>
      </c>
      <c r="E72" s="396"/>
      <c r="F72" s="396"/>
    </row>
    <row r="73" spans="1:6" ht="21.75" customHeight="1">
      <c r="A73" s="422">
        <f t="shared" si="0"/>
        <v>66</v>
      </c>
      <c r="B73" s="394" t="s">
        <v>774</v>
      </c>
      <c r="C73" s="393" t="s">
        <v>771</v>
      </c>
      <c r="D73" s="395">
        <v>2</v>
      </c>
      <c r="E73" s="396"/>
      <c r="F73" s="396"/>
    </row>
    <row r="74" spans="1:6" ht="21.75" customHeight="1">
      <c r="A74" s="422">
        <f t="shared" si="0"/>
        <v>67</v>
      </c>
      <c r="B74" s="394" t="s">
        <v>775</v>
      </c>
      <c r="C74" s="393" t="s">
        <v>771</v>
      </c>
      <c r="D74" s="395">
        <v>2</v>
      </c>
      <c r="E74" s="396"/>
      <c r="F74" s="396"/>
    </row>
    <row r="75" spans="1:6" ht="21.75" customHeight="1">
      <c r="A75" s="422">
        <f t="shared" ref="A75:A112" si="1">A74+1</f>
        <v>68</v>
      </c>
      <c r="B75" s="394" t="s">
        <v>776</v>
      </c>
      <c r="C75" s="393" t="s">
        <v>51</v>
      </c>
      <c r="D75" s="395">
        <v>2</v>
      </c>
      <c r="E75" s="396"/>
      <c r="F75" s="396"/>
    </row>
    <row r="76" spans="1:6" ht="21.75" customHeight="1">
      <c r="A76" s="422">
        <f t="shared" si="1"/>
        <v>69</v>
      </c>
      <c r="B76" s="394" t="s">
        <v>777</v>
      </c>
      <c r="C76" s="393" t="s">
        <v>771</v>
      </c>
      <c r="D76" s="395">
        <v>2</v>
      </c>
      <c r="E76" s="396"/>
      <c r="F76" s="396"/>
    </row>
    <row r="77" spans="1:6" ht="21.75" customHeight="1">
      <c r="A77" s="422">
        <f t="shared" si="1"/>
        <v>70</v>
      </c>
      <c r="B77" s="394" t="s">
        <v>778</v>
      </c>
      <c r="C77" s="393" t="s">
        <v>771</v>
      </c>
      <c r="D77" s="395">
        <v>2</v>
      </c>
      <c r="E77" s="396"/>
      <c r="F77" s="396"/>
    </row>
    <row r="78" spans="1:6" ht="21.75" customHeight="1">
      <c r="A78" s="422">
        <f t="shared" si="1"/>
        <v>71</v>
      </c>
      <c r="B78" s="394" t="s">
        <v>779</v>
      </c>
      <c r="C78" s="393" t="s">
        <v>51</v>
      </c>
      <c r="D78" s="395">
        <v>2</v>
      </c>
      <c r="E78" s="396"/>
      <c r="F78" s="396"/>
    </row>
    <row r="79" spans="1:6" ht="21.75" customHeight="1">
      <c r="A79" s="422">
        <f t="shared" si="1"/>
        <v>72</v>
      </c>
      <c r="B79" s="394" t="s">
        <v>780</v>
      </c>
      <c r="C79" s="393" t="s">
        <v>771</v>
      </c>
      <c r="D79" s="395">
        <v>2</v>
      </c>
      <c r="E79" s="396"/>
      <c r="F79" s="396"/>
    </row>
    <row r="80" spans="1:6" ht="21.75" customHeight="1">
      <c r="A80" s="422">
        <f t="shared" si="1"/>
        <v>73</v>
      </c>
      <c r="B80" s="394" t="s">
        <v>781</v>
      </c>
      <c r="C80" s="393" t="s">
        <v>51</v>
      </c>
      <c r="D80" s="395">
        <v>2</v>
      </c>
      <c r="E80" s="396"/>
      <c r="F80" s="396"/>
    </row>
    <row r="81" spans="1:6" ht="21.75" customHeight="1">
      <c r="A81" s="422">
        <f t="shared" si="1"/>
        <v>74</v>
      </c>
      <c r="B81" s="394" t="s">
        <v>782</v>
      </c>
      <c r="C81" s="393" t="s">
        <v>771</v>
      </c>
      <c r="D81" s="395">
        <v>2</v>
      </c>
      <c r="E81" s="396"/>
      <c r="F81" s="396"/>
    </row>
    <row r="82" spans="1:6" ht="21.75" customHeight="1">
      <c r="A82" s="422">
        <f t="shared" si="1"/>
        <v>75</v>
      </c>
      <c r="B82" s="394" t="s">
        <v>783</v>
      </c>
      <c r="C82" s="393" t="s">
        <v>51</v>
      </c>
      <c r="D82" s="395">
        <v>7</v>
      </c>
      <c r="E82" s="396"/>
      <c r="F82" s="396"/>
    </row>
    <row r="83" spans="1:6" ht="21.75" customHeight="1">
      <c r="A83" s="422">
        <f t="shared" si="1"/>
        <v>76</v>
      </c>
      <c r="B83" s="394" t="s">
        <v>784</v>
      </c>
      <c r="C83" s="393" t="s">
        <v>51</v>
      </c>
      <c r="D83" s="395">
        <v>1</v>
      </c>
      <c r="E83" s="396"/>
      <c r="F83" s="396"/>
    </row>
    <row r="84" spans="1:6" ht="21.75" customHeight="1">
      <c r="A84" s="422">
        <f t="shared" si="1"/>
        <v>77</v>
      </c>
      <c r="B84" s="394" t="s">
        <v>785</v>
      </c>
      <c r="C84" s="393" t="s">
        <v>51</v>
      </c>
      <c r="D84" s="395">
        <v>1</v>
      </c>
      <c r="E84" s="396"/>
      <c r="F84" s="396"/>
    </row>
    <row r="85" spans="1:6" ht="21.75" customHeight="1">
      <c r="A85" s="422">
        <f t="shared" si="1"/>
        <v>78</v>
      </c>
      <c r="B85" s="394" t="s">
        <v>786</v>
      </c>
      <c r="C85" s="393" t="s">
        <v>51</v>
      </c>
      <c r="D85" s="395">
        <v>1</v>
      </c>
      <c r="E85" s="396"/>
      <c r="F85" s="396"/>
    </row>
    <row r="86" spans="1:6" ht="21.75" customHeight="1">
      <c r="A86" s="422">
        <f t="shared" si="1"/>
        <v>79</v>
      </c>
      <c r="B86" s="394" t="s">
        <v>787</v>
      </c>
      <c r="C86" s="393" t="s">
        <v>771</v>
      </c>
      <c r="D86" s="395">
        <v>1</v>
      </c>
      <c r="E86" s="396"/>
      <c r="F86" s="396"/>
    </row>
    <row r="87" spans="1:6" ht="21.75" customHeight="1">
      <c r="A87" s="422">
        <f t="shared" si="1"/>
        <v>80</v>
      </c>
      <c r="B87" s="394" t="s">
        <v>788</v>
      </c>
      <c r="C87" s="393" t="s">
        <v>51</v>
      </c>
      <c r="D87" s="395">
        <v>1</v>
      </c>
      <c r="E87" s="396"/>
      <c r="F87" s="396"/>
    </row>
    <row r="88" spans="1:6" ht="21.75" customHeight="1">
      <c r="A88" s="422">
        <f t="shared" si="1"/>
        <v>81</v>
      </c>
      <c r="B88" s="394" t="s">
        <v>789</v>
      </c>
      <c r="C88" s="393" t="s">
        <v>51</v>
      </c>
      <c r="D88" s="395">
        <v>7</v>
      </c>
      <c r="E88" s="396"/>
      <c r="F88" s="396"/>
    </row>
    <row r="89" spans="1:6" ht="21.75" customHeight="1">
      <c r="A89" s="422">
        <f t="shared" si="1"/>
        <v>82</v>
      </c>
      <c r="B89" s="394" t="s">
        <v>790</v>
      </c>
      <c r="C89" s="393" t="s">
        <v>711</v>
      </c>
      <c r="D89" s="395">
        <v>20</v>
      </c>
      <c r="E89" s="396"/>
      <c r="F89" s="396"/>
    </row>
    <row r="90" spans="1:6" ht="21.75" customHeight="1">
      <c r="A90" s="422">
        <f t="shared" si="1"/>
        <v>83</v>
      </c>
      <c r="B90" s="394" t="s">
        <v>791</v>
      </c>
      <c r="C90" s="393" t="s">
        <v>771</v>
      </c>
      <c r="D90" s="395">
        <v>1</v>
      </c>
      <c r="E90" s="396"/>
      <c r="F90" s="396"/>
    </row>
    <row r="91" spans="1:6" ht="21.75" customHeight="1">
      <c r="A91" s="422">
        <f t="shared" si="1"/>
        <v>84</v>
      </c>
      <c r="B91" s="394" t="s">
        <v>792</v>
      </c>
      <c r="C91" s="393" t="s">
        <v>771</v>
      </c>
      <c r="D91" s="395">
        <v>1</v>
      </c>
      <c r="E91" s="396"/>
      <c r="F91" s="396"/>
    </row>
    <row r="92" spans="1:6" ht="30" customHeight="1">
      <c r="A92" s="422">
        <f t="shared" si="1"/>
        <v>85</v>
      </c>
      <c r="B92" s="394" t="s">
        <v>793</v>
      </c>
      <c r="C92" s="393" t="s">
        <v>794</v>
      </c>
      <c r="D92" s="395">
        <v>1</v>
      </c>
      <c r="E92" s="396"/>
      <c r="F92" s="396"/>
    </row>
    <row r="93" spans="1:6" ht="21.75" customHeight="1">
      <c r="A93" s="422">
        <f t="shared" si="1"/>
        <v>86</v>
      </c>
      <c r="B93" s="394" t="s">
        <v>795</v>
      </c>
      <c r="C93" s="393" t="s">
        <v>51</v>
      </c>
      <c r="D93" s="395">
        <v>2</v>
      </c>
      <c r="E93" s="396"/>
      <c r="F93" s="396"/>
    </row>
    <row r="94" spans="1:6" ht="21.75" customHeight="1">
      <c r="A94" s="422">
        <f t="shared" si="1"/>
        <v>87</v>
      </c>
      <c r="B94" s="394" t="s">
        <v>796</v>
      </c>
      <c r="C94" s="393" t="s">
        <v>771</v>
      </c>
      <c r="D94" s="395">
        <v>2</v>
      </c>
      <c r="E94" s="396"/>
      <c r="F94" s="396"/>
    </row>
    <row r="95" spans="1:6" ht="21.75" customHeight="1">
      <c r="A95" s="422">
        <f t="shared" si="1"/>
        <v>88</v>
      </c>
      <c r="B95" s="394" t="s">
        <v>797</v>
      </c>
      <c r="C95" s="393" t="s">
        <v>771</v>
      </c>
      <c r="D95" s="395">
        <v>1</v>
      </c>
      <c r="E95" s="396"/>
      <c r="F95" s="396"/>
    </row>
    <row r="96" spans="1:6" ht="21.75" customHeight="1">
      <c r="A96" s="422">
        <f t="shared" si="1"/>
        <v>89</v>
      </c>
      <c r="B96" s="394" t="s">
        <v>798</v>
      </c>
      <c r="C96" s="393" t="s">
        <v>51</v>
      </c>
      <c r="D96" s="395">
        <v>1</v>
      </c>
      <c r="E96" s="396"/>
      <c r="F96" s="396"/>
    </row>
    <row r="97" spans="1:6" ht="21.75" customHeight="1">
      <c r="A97" s="422">
        <f t="shared" si="1"/>
        <v>90</v>
      </c>
      <c r="B97" s="394" t="s">
        <v>983</v>
      </c>
      <c r="C97" s="393" t="s">
        <v>51</v>
      </c>
      <c r="D97" s="395">
        <v>1</v>
      </c>
      <c r="E97" s="396"/>
      <c r="F97" s="396"/>
    </row>
    <row r="98" spans="1:6" ht="21.75" customHeight="1">
      <c r="A98" s="422">
        <f t="shared" si="1"/>
        <v>91</v>
      </c>
      <c r="B98" s="394" t="s">
        <v>984</v>
      </c>
      <c r="C98" s="393" t="s">
        <v>51</v>
      </c>
      <c r="D98" s="395">
        <v>1</v>
      </c>
      <c r="E98" s="396"/>
      <c r="F98" s="396"/>
    </row>
    <row r="99" spans="1:6" ht="21.75" customHeight="1">
      <c r="A99" s="422">
        <f t="shared" si="1"/>
        <v>92</v>
      </c>
      <c r="B99" s="394" t="s">
        <v>801</v>
      </c>
      <c r="C99" s="393" t="s">
        <v>771</v>
      </c>
      <c r="D99" s="395">
        <v>2</v>
      </c>
      <c r="E99" s="396"/>
      <c r="F99" s="396"/>
    </row>
    <row r="100" spans="1:6" ht="21.75" customHeight="1">
      <c r="A100" s="422">
        <f t="shared" si="1"/>
        <v>93</v>
      </c>
      <c r="B100" s="394" t="s">
        <v>1034</v>
      </c>
      <c r="C100" s="393" t="s">
        <v>51</v>
      </c>
      <c r="D100" s="395">
        <v>3</v>
      </c>
      <c r="E100" s="396"/>
      <c r="F100" s="396"/>
    </row>
    <row r="101" spans="1:6" ht="21.75" customHeight="1">
      <c r="A101" s="422">
        <f t="shared" si="1"/>
        <v>94</v>
      </c>
      <c r="B101" s="394" t="s">
        <v>1035</v>
      </c>
      <c r="C101" s="393" t="s">
        <v>51</v>
      </c>
      <c r="D101" s="395">
        <v>1</v>
      </c>
      <c r="E101" s="396"/>
      <c r="F101" s="396"/>
    </row>
    <row r="102" spans="1:6" ht="21.75" customHeight="1">
      <c r="A102" s="422">
        <f t="shared" si="1"/>
        <v>95</v>
      </c>
      <c r="B102" s="394" t="s">
        <v>1036</v>
      </c>
      <c r="C102" s="393" t="s">
        <v>51</v>
      </c>
      <c r="D102" s="395">
        <v>1</v>
      </c>
      <c r="E102" s="396"/>
      <c r="F102" s="396"/>
    </row>
    <row r="103" spans="1:6" ht="21.75" customHeight="1">
      <c r="A103" s="422">
        <f t="shared" si="1"/>
        <v>96</v>
      </c>
      <c r="B103" s="394" t="s">
        <v>805</v>
      </c>
      <c r="C103" s="393" t="s">
        <v>51</v>
      </c>
      <c r="D103" s="395">
        <v>2</v>
      </c>
      <c r="E103" s="396"/>
      <c r="F103" s="396"/>
    </row>
    <row r="104" spans="1:6" ht="21.75" customHeight="1">
      <c r="A104" s="422">
        <f t="shared" si="1"/>
        <v>97</v>
      </c>
      <c r="B104" s="394" t="s">
        <v>806</v>
      </c>
      <c r="C104" s="393" t="s">
        <v>771</v>
      </c>
      <c r="D104" s="395">
        <v>2</v>
      </c>
      <c r="E104" s="396"/>
      <c r="F104" s="396"/>
    </row>
    <row r="105" spans="1:6" ht="21.75" customHeight="1">
      <c r="A105" s="422">
        <f t="shared" si="1"/>
        <v>98</v>
      </c>
      <c r="B105" s="394" t="s">
        <v>807</v>
      </c>
      <c r="C105" s="393" t="s">
        <v>51</v>
      </c>
      <c r="D105" s="395">
        <v>1</v>
      </c>
      <c r="E105" s="396"/>
      <c r="F105" s="396"/>
    </row>
    <row r="106" spans="1:6" s="398" customFormat="1" ht="22.5" customHeight="1">
      <c r="A106" s="422">
        <f t="shared" si="1"/>
        <v>99</v>
      </c>
      <c r="B106" s="394" t="s">
        <v>808</v>
      </c>
      <c r="C106" s="393" t="s">
        <v>771</v>
      </c>
      <c r="D106" s="395">
        <v>1</v>
      </c>
      <c r="E106" s="396"/>
      <c r="F106" s="396"/>
    </row>
    <row r="107" spans="1:6" s="398" customFormat="1" ht="20.25" customHeight="1">
      <c r="A107" s="422">
        <f t="shared" si="1"/>
        <v>100</v>
      </c>
      <c r="B107" s="394" t="s">
        <v>809</v>
      </c>
      <c r="C107" s="393" t="s">
        <v>771</v>
      </c>
      <c r="D107" s="395">
        <v>1</v>
      </c>
      <c r="E107" s="396"/>
      <c r="F107" s="396"/>
    </row>
    <row r="108" spans="1:6">
      <c r="A108" s="422">
        <f t="shared" si="1"/>
        <v>101</v>
      </c>
      <c r="B108" s="394" t="s">
        <v>1037</v>
      </c>
      <c r="C108" s="393" t="s">
        <v>51</v>
      </c>
      <c r="D108" s="395">
        <v>3</v>
      </c>
      <c r="E108" s="396"/>
      <c r="F108" s="396"/>
    </row>
    <row r="109" spans="1:6">
      <c r="A109" s="422">
        <f t="shared" si="1"/>
        <v>102</v>
      </c>
      <c r="B109" s="394" t="s">
        <v>811</v>
      </c>
      <c r="C109" s="393" t="s">
        <v>51</v>
      </c>
      <c r="D109" s="395">
        <v>5</v>
      </c>
      <c r="E109" s="396"/>
      <c r="F109" s="396"/>
    </row>
    <row r="110" spans="1:6">
      <c r="A110" s="422">
        <f t="shared" si="1"/>
        <v>103</v>
      </c>
      <c r="B110" s="394" t="s">
        <v>812</v>
      </c>
      <c r="C110" s="393" t="s">
        <v>813</v>
      </c>
      <c r="D110" s="395">
        <v>1</v>
      </c>
      <c r="E110" s="396"/>
      <c r="F110" s="396"/>
    </row>
    <row r="111" spans="1:6">
      <c r="A111" s="422">
        <f t="shared" si="1"/>
        <v>104</v>
      </c>
      <c r="B111" s="394" t="s">
        <v>814</v>
      </c>
      <c r="C111" s="393" t="s">
        <v>771</v>
      </c>
      <c r="D111" s="395">
        <v>1</v>
      </c>
      <c r="E111" s="396"/>
      <c r="F111" s="396"/>
    </row>
    <row r="112" spans="1:6" s="398" customFormat="1" ht="22.5" customHeight="1">
      <c r="A112" s="422">
        <f t="shared" si="1"/>
        <v>105</v>
      </c>
      <c r="B112" s="401" t="s">
        <v>702</v>
      </c>
      <c r="C112" s="393" t="s">
        <v>667</v>
      </c>
      <c r="D112" s="402">
        <v>1</v>
      </c>
      <c r="E112" s="403"/>
      <c r="F112" s="396"/>
    </row>
    <row r="113" spans="1:6" s="398" customFormat="1" ht="20.25" customHeight="1">
      <c r="A113" s="404"/>
      <c r="B113" s="404" t="s">
        <v>407</v>
      </c>
      <c r="C113" s="404"/>
      <c r="D113" s="405"/>
      <c r="E113" s="406"/>
      <c r="F113" s="407">
        <f>SUM(F8:F112)</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7"/>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7" s="199" customFormat="1" ht="32.25" customHeight="1">
      <c r="A1" s="231" t="str">
        <f>'N7-5'!A1:F1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1161</v>
      </c>
      <c r="B3" s="330"/>
      <c r="C3" s="330"/>
      <c r="D3" s="330"/>
      <c r="E3" s="330"/>
      <c r="F3" s="330"/>
    </row>
    <row r="4" spans="1:7" s="335" customFormat="1" ht="20.25" customHeight="1">
      <c r="A4" s="377" t="s">
        <v>1184</v>
      </c>
      <c r="B4" s="377"/>
      <c r="C4" s="377"/>
      <c r="D4" s="377"/>
      <c r="E4" s="377"/>
      <c r="F4" s="377"/>
      <c r="G4" s="378"/>
    </row>
    <row r="5" spans="1:7" s="199" customFormat="1" ht="19.5" customHeight="1" thickBot="1">
      <c r="A5" s="379" t="s">
        <v>516</v>
      </c>
      <c r="B5" s="379"/>
      <c r="C5" s="379"/>
      <c r="D5" s="379"/>
      <c r="E5" s="379"/>
      <c r="F5" s="379"/>
      <c r="G5" s="380"/>
    </row>
    <row r="6" spans="1:7" ht="87.6" customHeight="1">
      <c r="A6" s="381" t="s">
        <v>523</v>
      </c>
      <c r="B6" s="382" t="s">
        <v>524</v>
      </c>
      <c r="C6" s="383" t="s">
        <v>525</v>
      </c>
      <c r="D6" s="384" t="s">
        <v>411</v>
      </c>
      <c r="E6" s="385" t="s">
        <v>526</v>
      </c>
      <c r="F6" s="386" t="s">
        <v>527</v>
      </c>
    </row>
    <row r="7" spans="1:7">
      <c r="A7" s="411">
        <v>1</v>
      </c>
      <c r="B7" s="411">
        <v>2</v>
      </c>
      <c r="C7" s="412">
        <v>3</v>
      </c>
      <c r="D7" s="413" t="s">
        <v>488</v>
      </c>
      <c r="E7" s="414" t="s">
        <v>513</v>
      </c>
      <c r="F7" s="413" t="s">
        <v>515</v>
      </c>
    </row>
    <row r="8" spans="1:7" s="397" customFormat="1" ht="18.75" customHeight="1">
      <c r="A8" s="393" t="s">
        <v>5</v>
      </c>
      <c r="B8" s="394" t="s">
        <v>1185</v>
      </c>
      <c r="C8" s="393" t="s">
        <v>667</v>
      </c>
      <c r="D8" s="395">
        <v>1</v>
      </c>
      <c r="E8" s="396"/>
      <c r="F8" s="396"/>
    </row>
    <row r="9" spans="1:7" s="397" customFormat="1" ht="18.75" customHeight="1">
      <c r="A9" s="393" t="s">
        <v>7</v>
      </c>
      <c r="B9" s="394" t="s">
        <v>676</v>
      </c>
      <c r="C9" s="393" t="s">
        <v>667</v>
      </c>
      <c r="D9" s="395">
        <v>1</v>
      </c>
      <c r="E9" s="396"/>
      <c r="F9" s="396"/>
    </row>
    <row r="10" spans="1:7" s="398" customFormat="1" ht="18.75" customHeight="1">
      <c r="A10" s="393" t="s">
        <v>487</v>
      </c>
      <c r="B10" s="394" t="s">
        <v>817</v>
      </c>
      <c r="C10" s="393" t="s">
        <v>667</v>
      </c>
      <c r="D10" s="395">
        <v>10</v>
      </c>
      <c r="E10" s="396"/>
      <c r="F10" s="396"/>
    </row>
    <row r="11" spans="1:7" s="397" customFormat="1" ht="42" customHeight="1">
      <c r="A11" s="422">
        <f t="shared" ref="A11:A26" si="0">A10+1</f>
        <v>4</v>
      </c>
      <c r="B11" s="394" t="s">
        <v>818</v>
      </c>
      <c r="C11" s="393" t="s">
        <v>667</v>
      </c>
      <c r="D11" s="395">
        <v>10</v>
      </c>
      <c r="E11" s="396"/>
      <c r="F11" s="396"/>
    </row>
    <row r="12" spans="1:7" s="397" customFormat="1" ht="31.5" customHeight="1">
      <c r="A12" s="422">
        <f t="shared" si="0"/>
        <v>5</v>
      </c>
      <c r="B12" s="394" t="s">
        <v>1186</v>
      </c>
      <c r="C12" s="393" t="s">
        <v>667</v>
      </c>
      <c r="D12" s="395">
        <v>1</v>
      </c>
      <c r="E12" s="396"/>
      <c r="F12" s="396"/>
    </row>
    <row r="13" spans="1:7" s="398" customFormat="1" ht="31.5" customHeight="1">
      <c r="A13" s="422">
        <f t="shared" si="0"/>
        <v>6</v>
      </c>
      <c r="B13" s="394" t="s">
        <v>820</v>
      </c>
      <c r="C13" s="393" t="s">
        <v>667</v>
      </c>
      <c r="D13" s="395">
        <v>1</v>
      </c>
      <c r="E13" s="396"/>
      <c r="F13" s="396"/>
    </row>
    <row r="14" spans="1:7" s="397" customFormat="1" ht="31.5" customHeight="1">
      <c r="A14" s="422">
        <f t="shared" si="0"/>
        <v>7</v>
      </c>
      <c r="B14" s="394" t="s">
        <v>821</v>
      </c>
      <c r="C14" s="393" t="s">
        <v>667</v>
      </c>
      <c r="D14" s="395">
        <v>2</v>
      </c>
      <c r="E14" s="396"/>
      <c r="F14" s="396"/>
    </row>
    <row r="15" spans="1:7" s="398" customFormat="1" ht="31.5" customHeight="1">
      <c r="A15" s="422">
        <f t="shared" si="0"/>
        <v>8</v>
      </c>
      <c r="B15" s="394" t="s">
        <v>822</v>
      </c>
      <c r="C15" s="393" t="s">
        <v>667</v>
      </c>
      <c r="D15" s="395">
        <v>5</v>
      </c>
      <c r="E15" s="396"/>
      <c r="F15" s="396"/>
    </row>
    <row r="16" spans="1:7" s="398" customFormat="1" ht="31.5" customHeight="1">
      <c r="A16" s="422">
        <f t="shared" si="0"/>
        <v>9</v>
      </c>
      <c r="B16" s="394" t="s">
        <v>932</v>
      </c>
      <c r="C16" s="393" t="s">
        <v>824</v>
      </c>
      <c r="D16" s="395">
        <v>100</v>
      </c>
      <c r="E16" s="396"/>
      <c r="F16" s="396"/>
      <c r="G16" s="399"/>
    </row>
    <row r="17" spans="1:6" s="398" customFormat="1" ht="31.5" customHeight="1">
      <c r="A17" s="422">
        <f t="shared" si="0"/>
        <v>10</v>
      </c>
      <c r="B17" s="394" t="s">
        <v>933</v>
      </c>
      <c r="C17" s="393" t="s">
        <v>824</v>
      </c>
      <c r="D17" s="395">
        <v>40</v>
      </c>
      <c r="E17" s="396"/>
      <c r="F17" s="396"/>
    </row>
    <row r="18" spans="1:6" s="398" customFormat="1" ht="21.75" customHeight="1">
      <c r="A18" s="422">
        <f t="shared" si="0"/>
        <v>11</v>
      </c>
      <c r="B18" s="394" t="s">
        <v>826</v>
      </c>
      <c r="C18" s="393"/>
      <c r="D18" s="395">
        <v>2</v>
      </c>
      <c r="E18" s="396"/>
      <c r="F18" s="396"/>
    </row>
    <row r="19" spans="1:6" ht="21.75" customHeight="1">
      <c r="A19" s="422">
        <f t="shared" si="0"/>
        <v>12</v>
      </c>
      <c r="B19" s="394" t="s">
        <v>827</v>
      </c>
      <c r="C19" s="393" t="s">
        <v>667</v>
      </c>
      <c r="D19" s="395">
        <v>1</v>
      </c>
      <c r="E19" s="396"/>
      <c r="F19" s="396"/>
    </row>
    <row r="20" spans="1:6" ht="21.75" customHeight="1">
      <c r="A20" s="422">
        <f t="shared" si="0"/>
        <v>13</v>
      </c>
      <c r="B20" s="394" t="s">
        <v>828</v>
      </c>
      <c r="C20" s="393" t="s">
        <v>667</v>
      </c>
      <c r="D20" s="395">
        <v>1</v>
      </c>
      <c r="E20" s="396"/>
      <c r="F20" s="396"/>
    </row>
    <row r="21" spans="1:6" ht="33" customHeight="1">
      <c r="A21" s="422">
        <f t="shared" si="0"/>
        <v>14</v>
      </c>
      <c r="B21" s="394" t="s">
        <v>829</v>
      </c>
      <c r="C21" s="393" t="s">
        <v>674</v>
      </c>
      <c r="D21" s="395">
        <v>1</v>
      </c>
      <c r="E21" s="396"/>
      <c r="F21" s="396"/>
    </row>
    <row r="22" spans="1:6" ht="33" customHeight="1">
      <c r="A22" s="422">
        <f t="shared" si="0"/>
        <v>15</v>
      </c>
      <c r="B22" s="394" t="s">
        <v>830</v>
      </c>
      <c r="C22" s="393" t="s">
        <v>674</v>
      </c>
      <c r="D22" s="395">
        <v>1</v>
      </c>
      <c r="E22" s="396"/>
      <c r="F22" s="396"/>
    </row>
    <row r="23" spans="1:6" ht="33" customHeight="1">
      <c r="A23" s="422">
        <f t="shared" si="0"/>
        <v>16</v>
      </c>
      <c r="B23" s="394" t="s">
        <v>831</v>
      </c>
      <c r="C23" s="393" t="s">
        <v>674</v>
      </c>
      <c r="D23" s="395">
        <v>1</v>
      </c>
      <c r="E23" s="396"/>
      <c r="F23" s="396"/>
    </row>
    <row r="24" spans="1:6" ht="21.75" customHeight="1">
      <c r="A24" s="422">
        <f t="shared" si="0"/>
        <v>17</v>
      </c>
      <c r="B24" s="394" t="s">
        <v>832</v>
      </c>
      <c r="C24" s="393" t="s">
        <v>674</v>
      </c>
      <c r="D24" s="395">
        <v>30</v>
      </c>
      <c r="E24" s="396"/>
      <c r="F24" s="396"/>
    </row>
    <row r="25" spans="1:6" ht="21.75" customHeight="1">
      <c r="A25" s="422">
        <f t="shared" si="0"/>
        <v>18</v>
      </c>
      <c r="B25" s="394" t="s">
        <v>676</v>
      </c>
      <c r="C25" s="393" t="s">
        <v>667</v>
      </c>
      <c r="D25" s="395">
        <v>1</v>
      </c>
      <c r="E25" s="396"/>
      <c r="F25" s="396"/>
    </row>
    <row r="26" spans="1:6" s="398" customFormat="1" ht="22.5" customHeight="1">
      <c r="A26" s="422">
        <f t="shared" si="0"/>
        <v>19</v>
      </c>
      <c r="B26" s="401" t="s">
        <v>677</v>
      </c>
      <c r="C26" s="416" t="s">
        <v>833</v>
      </c>
      <c r="D26" s="402">
        <v>1</v>
      </c>
      <c r="E26" s="403"/>
      <c r="F26" s="396"/>
    </row>
    <row r="27" spans="1:6" s="398" customFormat="1" ht="20.25" customHeight="1">
      <c r="A27" s="404"/>
      <c r="B27" s="404" t="s">
        <v>407</v>
      </c>
      <c r="C27" s="404"/>
      <c r="D27" s="405"/>
      <c r="E27" s="406"/>
      <c r="F27" s="407">
        <f>SUM(F8:F26)</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5"/>
  <sheetViews>
    <sheetView topLeftCell="A18"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6" s="199" customFormat="1" ht="32.25" customHeight="1">
      <c r="A1" s="231" t="str">
        <f>'N7-6'!A1:F1</f>
        <v>yazbegis, aragvis, fSav-xevsureTisa da TuSeTis dacul teritoriebze arsebuli 7 qoxis saxarjTaRricxvo dokumentacia.</v>
      </c>
      <c r="B1" s="198"/>
      <c r="C1" s="198"/>
      <c r="D1" s="198"/>
      <c r="E1" s="198"/>
      <c r="F1" s="198"/>
    </row>
    <row r="2" spans="1:6" s="376" customFormat="1" ht="13.5" customHeight="1">
      <c r="A2" s="375" t="s">
        <v>664</v>
      </c>
      <c r="B2" s="375"/>
      <c r="C2" s="375"/>
      <c r="D2" s="375"/>
      <c r="E2" s="375"/>
      <c r="F2" s="375"/>
    </row>
    <row r="3" spans="1:6" s="376" customFormat="1" ht="19.5" customHeight="1">
      <c r="A3" s="330" t="s">
        <v>1161</v>
      </c>
      <c r="B3" s="330"/>
      <c r="C3" s="330"/>
      <c r="D3" s="330"/>
      <c r="E3" s="330"/>
      <c r="F3" s="330"/>
    </row>
    <row r="4" spans="1:6" s="335" customFormat="1" ht="20.25" customHeight="1">
      <c r="A4" s="377" t="s">
        <v>1187</v>
      </c>
      <c r="B4" s="377"/>
      <c r="C4" s="377"/>
      <c r="D4" s="377"/>
      <c r="E4" s="377"/>
      <c r="F4" s="377"/>
    </row>
    <row r="5" spans="1:6" s="199" customFormat="1" ht="19.5" customHeight="1" thickBot="1">
      <c r="A5" s="379" t="s">
        <v>517</v>
      </c>
      <c r="B5" s="379"/>
      <c r="C5" s="379"/>
      <c r="D5" s="379"/>
      <c r="E5" s="379"/>
      <c r="F5" s="379"/>
    </row>
    <row r="6" spans="1:6" ht="87.6" customHeight="1" thickBot="1">
      <c r="A6" s="381" t="s">
        <v>523</v>
      </c>
      <c r="B6" s="382" t="s">
        <v>524</v>
      </c>
      <c r="C6" s="383" t="s">
        <v>525</v>
      </c>
      <c r="D6" s="384" t="s">
        <v>411</v>
      </c>
      <c r="E6" s="385" t="s">
        <v>526</v>
      </c>
      <c r="F6" s="386" t="s">
        <v>527</v>
      </c>
    </row>
    <row r="7" spans="1:6" ht="16.5" thickBot="1">
      <c r="A7" s="387">
        <v>1</v>
      </c>
      <c r="B7" s="388">
        <v>2</v>
      </c>
      <c r="C7" s="389">
        <v>3</v>
      </c>
      <c r="D7" s="390" t="s">
        <v>488</v>
      </c>
      <c r="E7" s="391" t="s">
        <v>513</v>
      </c>
      <c r="F7" s="392" t="s">
        <v>515</v>
      </c>
    </row>
    <row r="8" spans="1:6" s="397" customFormat="1" ht="36.75" customHeight="1">
      <c r="A8" s="393" t="s">
        <v>5</v>
      </c>
      <c r="B8" s="394" t="s">
        <v>935</v>
      </c>
      <c r="C8" s="393" t="s">
        <v>667</v>
      </c>
      <c r="D8" s="395">
        <v>1</v>
      </c>
      <c r="E8" s="396"/>
      <c r="F8" s="396"/>
    </row>
    <row r="9" spans="1:6" s="397" customFormat="1" ht="53.25" customHeight="1">
      <c r="A9" s="393" t="s">
        <v>7</v>
      </c>
      <c r="B9" s="394" t="s">
        <v>936</v>
      </c>
      <c r="C9" s="393" t="s">
        <v>824</v>
      </c>
      <c r="D9" s="395">
        <v>200</v>
      </c>
      <c r="E9" s="396"/>
      <c r="F9" s="396"/>
    </row>
    <row r="10" spans="1:6" s="398" customFormat="1" ht="25.5">
      <c r="A10" s="393" t="s">
        <v>487</v>
      </c>
      <c r="B10" s="394" t="s">
        <v>937</v>
      </c>
      <c r="C10" s="393" t="s">
        <v>674</v>
      </c>
      <c r="D10" s="395">
        <v>60</v>
      </c>
      <c r="E10" s="396"/>
      <c r="F10" s="396"/>
    </row>
    <row r="11" spans="1:6" s="397" customFormat="1" ht="30.75" customHeight="1">
      <c r="A11" s="393" t="s">
        <v>488</v>
      </c>
      <c r="B11" s="394" t="s">
        <v>938</v>
      </c>
      <c r="C11" s="393" t="s">
        <v>824</v>
      </c>
      <c r="D11" s="395">
        <v>60</v>
      </c>
      <c r="E11" s="396"/>
      <c r="F11" s="396"/>
    </row>
    <row r="12" spans="1:6" s="398" customFormat="1" ht="52.5" customHeight="1">
      <c r="A12" s="393" t="s">
        <v>513</v>
      </c>
      <c r="B12" s="394" t="s">
        <v>939</v>
      </c>
      <c r="C12" s="393" t="s">
        <v>674</v>
      </c>
      <c r="D12" s="395">
        <v>37</v>
      </c>
      <c r="E12" s="396"/>
      <c r="F12" s="396"/>
    </row>
    <row r="13" spans="1:6" s="398" customFormat="1" ht="54" customHeight="1">
      <c r="A13" s="393" t="s">
        <v>515</v>
      </c>
      <c r="B13" s="394" t="s">
        <v>840</v>
      </c>
      <c r="C13" s="393" t="s">
        <v>674</v>
      </c>
      <c r="D13" s="395">
        <v>10</v>
      </c>
      <c r="E13" s="396"/>
      <c r="F13" s="396"/>
    </row>
    <row r="14" spans="1:6" s="398" customFormat="1" ht="54" customHeight="1">
      <c r="A14" s="393" t="s">
        <v>675</v>
      </c>
      <c r="B14" s="394" t="s">
        <v>841</v>
      </c>
      <c r="C14" s="393" t="s">
        <v>674</v>
      </c>
      <c r="D14" s="395">
        <v>17</v>
      </c>
      <c r="E14" s="396"/>
      <c r="F14" s="396"/>
    </row>
    <row r="15" spans="1:6" s="398" customFormat="1" ht="54" customHeight="1">
      <c r="A15" s="393" t="s">
        <v>686</v>
      </c>
      <c r="B15" s="394" t="s">
        <v>842</v>
      </c>
      <c r="C15" s="393" t="s">
        <v>674</v>
      </c>
      <c r="D15" s="395">
        <v>9</v>
      </c>
      <c r="E15" s="396"/>
      <c r="F15" s="396"/>
    </row>
    <row r="16" spans="1:6" s="398" customFormat="1" ht="54" customHeight="1">
      <c r="A16" s="393" t="s">
        <v>688</v>
      </c>
      <c r="B16" s="394" t="s">
        <v>843</v>
      </c>
      <c r="C16" s="393" t="s">
        <v>674</v>
      </c>
      <c r="D16" s="395">
        <v>7</v>
      </c>
      <c r="E16" s="396"/>
      <c r="F16" s="396"/>
    </row>
    <row r="17" spans="1:6" ht="38.25">
      <c r="A17" s="393" t="s">
        <v>690</v>
      </c>
      <c r="B17" s="394" t="s">
        <v>844</v>
      </c>
      <c r="C17" s="393" t="s">
        <v>824</v>
      </c>
      <c r="D17" s="395">
        <v>300</v>
      </c>
      <c r="E17" s="396"/>
      <c r="F17" s="396"/>
    </row>
    <row r="18" spans="1:6" ht="38.25">
      <c r="A18" s="393" t="s">
        <v>692</v>
      </c>
      <c r="B18" s="394" t="s">
        <v>845</v>
      </c>
      <c r="C18" s="393" t="s">
        <v>824</v>
      </c>
      <c r="D18" s="395">
        <v>350</v>
      </c>
      <c r="E18" s="396"/>
      <c r="F18" s="396"/>
    </row>
    <row r="19" spans="1:6" ht="16.5" thickBot="1">
      <c r="A19" s="592" t="s">
        <v>694</v>
      </c>
      <c r="B19" s="616" t="s">
        <v>676</v>
      </c>
      <c r="C19" s="592" t="s">
        <v>667</v>
      </c>
      <c r="D19" s="617">
        <v>1</v>
      </c>
      <c r="E19" s="618"/>
      <c r="F19" s="618"/>
    </row>
    <row r="20" spans="1:6" s="398" customFormat="1" ht="22.5" customHeight="1" thickBot="1">
      <c r="A20" s="593">
        <f t="shared" ref="A20" si="0">A19+1</f>
        <v>13</v>
      </c>
      <c r="B20" s="594" t="s">
        <v>677</v>
      </c>
      <c r="C20" s="595" t="s">
        <v>833</v>
      </c>
      <c r="D20" s="596">
        <v>1</v>
      </c>
      <c r="E20" s="597"/>
      <c r="F20" s="597"/>
    </row>
    <row r="21" spans="1:6" s="398" customFormat="1" ht="20.25" customHeight="1" thickBot="1">
      <c r="A21" s="598"/>
      <c r="B21" s="599" t="s">
        <v>407</v>
      </c>
      <c r="C21" s="599"/>
      <c r="D21" s="600"/>
      <c r="E21" s="601"/>
      <c r="F21" s="602">
        <f>SUM(F8:F20)</f>
        <v>0</v>
      </c>
    </row>
    <row r="25" spans="1:6">
      <c r="F25" s="398"/>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7" s="199" customFormat="1" ht="32.25" customHeight="1">
      <c r="A1" s="231" t="str">
        <f>'N7-7'!A1:F1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1161</v>
      </c>
      <c r="B3" s="330"/>
      <c r="C3" s="330"/>
      <c r="D3" s="330"/>
      <c r="E3" s="330"/>
      <c r="F3" s="330"/>
    </row>
    <row r="4" spans="1:7" s="335" customFormat="1" ht="20.25" customHeight="1">
      <c r="A4" s="377" t="s">
        <v>1188</v>
      </c>
      <c r="B4" s="377"/>
      <c r="C4" s="377"/>
      <c r="D4" s="377"/>
      <c r="E4" s="377"/>
      <c r="F4" s="377"/>
      <c r="G4" s="378"/>
    </row>
    <row r="5" spans="1:7" s="199" customFormat="1" ht="19.5" customHeight="1" thickBot="1">
      <c r="A5" s="379" t="s">
        <v>847</v>
      </c>
      <c r="B5" s="379"/>
      <c r="C5" s="379"/>
      <c r="D5" s="379"/>
      <c r="E5" s="379"/>
      <c r="F5" s="379"/>
      <c r="G5" s="380"/>
    </row>
    <row r="6" spans="1:7" ht="87.6" customHeight="1" thickBot="1">
      <c r="A6" s="381" t="s">
        <v>523</v>
      </c>
      <c r="B6" s="382" t="s">
        <v>524</v>
      </c>
      <c r="C6" s="383" t="s">
        <v>525</v>
      </c>
      <c r="D6" s="384" t="s">
        <v>411</v>
      </c>
      <c r="E6" s="385" t="s">
        <v>526</v>
      </c>
      <c r="F6" s="386" t="s">
        <v>527</v>
      </c>
    </row>
    <row r="7" spans="1:7" ht="16.5" thickBot="1">
      <c r="A7" s="387">
        <v>1</v>
      </c>
      <c r="B7" s="388">
        <v>2</v>
      </c>
      <c r="C7" s="389">
        <v>3</v>
      </c>
      <c r="D7" s="390" t="s">
        <v>488</v>
      </c>
      <c r="E7" s="391" t="s">
        <v>513</v>
      </c>
      <c r="F7" s="392" t="s">
        <v>515</v>
      </c>
    </row>
    <row r="8" spans="1:7" s="397" customFormat="1" ht="36.75" customHeight="1">
      <c r="A8" s="393" t="s">
        <v>5</v>
      </c>
      <c r="B8" s="394" t="s">
        <v>848</v>
      </c>
      <c r="C8" s="393" t="s">
        <v>674</v>
      </c>
      <c r="D8" s="395">
        <v>1</v>
      </c>
      <c r="E8" s="396"/>
      <c r="F8" s="396"/>
    </row>
    <row r="9" spans="1:7" s="397" customFormat="1" ht="53.25" customHeight="1">
      <c r="A9" s="393" t="s">
        <v>7</v>
      </c>
      <c r="B9" s="394" t="s">
        <v>849</v>
      </c>
      <c r="C9" s="393" t="s">
        <v>674</v>
      </c>
      <c r="D9" s="395">
        <v>2</v>
      </c>
      <c r="E9" s="396"/>
      <c r="F9" s="396"/>
    </row>
    <row r="10" spans="1:7" s="398" customFormat="1" ht="76.5">
      <c r="A10" s="393" t="s">
        <v>487</v>
      </c>
      <c r="B10" s="394" t="s">
        <v>850</v>
      </c>
      <c r="C10" s="393" t="s">
        <v>674</v>
      </c>
      <c r="D10" s="395">
        <v>5</v>
      </c>
      <c r="E10" s="396"/>
      <c r="F10" s="396"/>
    </row>
    <row r="11" spans="1:7" s="397" customFormat="1" ht="31.5" customHeight="1">
      <c r="A11" s="393" t="s">
        <v>488</v>
      </c>
      <c r="B11" s="394" t="s">
        <v>851</v>
      </c>
      <c r="C11" s="393" t="s">
        <v>824</v>
      </c>
      <c r="D11" s="395">
        <v>40</v>
      </c>
      <c r="E11" s="396"/>
      <c r="F11" s="396"/>
    </row>
    <row r="12" spans="1:7" s="398" customFormat="1" ht="31.5" customHeight="1">
      <c r="A12" s="393" t="s">
        <v>513</v>
      </c>
      <c r="B12" s="394" t="s">
        <v>852</v>
      </c>
      <c r="C12" s="393" t="s">
        <v>674</v>
      </c>
      <c r="D12" s="395">
        <v>10</v>
      </c>
      <c r="E12" s="396"/>
      <c r="F12" s="396"/>
    </row>
    <row r="13" spans="1:7" s="398" customFormat="1" ht="31.5" customHeight="1">
      <c r="A13" s="393" t="s">
        <v>515</v>
      </c>
      <c r="B13" s="394" t="s">
        <v>853</v>
      </c>
      <c r="C13" s="393" t="s">
        <v>824</v>
      </c>
      <c r="D13" s="395">
        <v>36</v>
      </c>
      <c r="E13" s="396"/>
      <c r="F13" s="396"/>
    </row>
    <row r="14" spans="1:7" s="398" customFormat="1" ht="31.5" customHeight="1">
      <c r="A14" s="393" t="s">
        <v>675</v>
      </c>
      <c r="B14" s="394" t="s">
        <v>854</v>
      </c>
      <c r="C14" s="393" t="s">
        <v>667</v>
      </c>
      <c r="D14" s="395">
        <v>1</v>
      </c>
      <c r="E14" s="396"/>
      <c r="F14" s="396"/>
      <c r="G14" s="399"/>
    </row>
    <row r="15" spans="1:7" s="398" customFormat="1" ht="31.5" customHeight="1">
      <c r="A15" s="393" t="s">
        <v>686</v>
      </c>
      <c r="B15" s="394" t="s">
        <v>942</v>
      </c>
      <c r="C15" s="393" t="s">
        <v>667</v>
      </c>
      <c r="D15" s="395">
        <v>1</v>
      </c>
      <c r="E15" s="396"/>
      <c r="F15" s="396"/>
    </row>
    <row r="16" spans="1:7" s="398" customFormat="1" ht="31.5" customHeight="1">
      <c r="A16" s="393" t="s">
        <v>688</v>
      </c>
      <c r="B16" s="394" t="s">
        <v>943</v>
      </c>
      <c r="C16" s="393" t="s">
        <v>667</v>
      </c>
      <c r="D16" s="395">
        <v>1</v>
      </c>
      <c r="E16" s="396"/>
      <c r="F16" s="396"/>
    </row>
    <row r="17" spans="1:6">
      <c r="A17" s="393" t="s">
        <v>690</v>
      </c>
      <c r="B17" s="394" t="s">
        <v>854</v>
      </c>
      <c r="C17" s="393" t="s">
        <v>667</v>
      </c>
      <c r="D17" s="395">
        <v>1</v>
      </c>
      <c r="E17" s="396"/>
      <c r="F17" s="396"/>
    </row>
    <row r="18" spans="1:6" s="398" customFormat="1" ht="22.5" customHeight="1">
      <c r="A18" s="393" t="s">
        <v>692</v>
      </c>
      <c r="B18" s="401" t="s">
        <v>702</v>
      </c>
      <c r="C18" s="393" t="s">
        <v>667</v>
      </c>
      <c r="D18" s="402">
        <v>1</v>
      </c>
      <c r="E18" s="403"/>
      <c r="F18" s="396"/>
    </row>
    <row r="19" spans="1:6" s="398" customFormat="1" ht="20.25" customHeight="1">
      <c r="A19" s="404"/>
      <c r="B19" s="404" t="s">
        <v>407</v>
      </c>
      <c r="C19" s="404"/>
      <c r="D19" s="405"/>
      <c r="E19" s="406"/>
      <c r="F19" s="407">
        <f>SUM(F8:F18)</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B3"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157</v>
      </c>
      <c r="B3" s="64"/>
      <c r="C3" s="64"/>
      <c r="D3" s="64"/>
      <c r="E3" s="64"/>
      <c r="F3" s="64"/>
    </row>
    <row r="4" spans="1:6">
      <c r="A4" s="63" t="s">
        <v>48</v>
      </c>
      <c r="B4" s="64"/>
      <c r="C4" s="64"/>
      <c r="D4" s="64"/>
      <c r="E4" s="64"/>
      <c r="F4" s="64"/>
    </row>
    <row r="5" spans="1:6">
      <c r="A5" s="65" t="s">
        <v>158</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2</v>
      </c>
      <c r="E7" s="3"/>
      <c r="F7" s="12"/>
    </row>
    <row r="8" spans="1:6">
      <c r="A8" s="3">
        <v>2</v>
      </c>
      <c r="B8" s="18" t="s">
        <v>113</v>
      </c>
      <c r="C8" s="3" t="s">
        <v>47</v>
      </c>
      <c r="D8" s="3">
        <v>4</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17">
        <v>0.56699999999999995</v>
      </c>
      <c r="E11" s="17"/>
      <c r="F11" s="12"/>
    </row>
    <row r="12" spans="1:6">
      <c r="A12" s="28">
        <v>6</v>
      </c>
      <c r="B12" s="18" t="s">
        <v>123</v>
      </c>
      <c r="C12" s="3" t="s">
        <v>52</v>
      </c>
      <c r="D12" s="17">
        <v>35.4</v>
      </c>
      <c r="E12" s="17"/>
      <c r="F12" s="12"/>
    </row>
    <row r="13" spans="1:6">
      <c r="A13" s="28">
        <v>7</v>
      </c>
      <c r="B13" s="18" t="s">
        <v>130</v>
      </c>
      <c r="C13" s="3" t="s">
        <v>46</v>
      </c>
      <c r="D13" s="17">
        <f>D16*0.78</f>
        <v>6.24</v>
      </c>
      <c r="E13" s="17"/>
      <c r="F13" s="12"/>
    </row>
    <row r="14" spans="1:6">
      <c r="A14" s="28">
        <v>8</v>
      </c>
      <c r="B14" s="18" t="s">
        <v>120</v>
      </c>
      <c r="C14" s="3" t="s">
        <v>119</v>
      </c>
      <c r="D14" s="3">
        <f>101*2+4*4</f>
        <v>218</v>
      </c>
      <c r="E14" s="3"/>
      <c r="F14" s="12"/>
    </row>
    <row r="15" spans="1:6">
      <c r="A15" s="28">
        <v>9</v>
      </c>
      <c r="B15" s="21" t="s">
        <v>121</v>
      </c>
      <c r="C15" s="3" t="s">
        <v>51</v>
      </c>
      <c r="D15" s="3">
        <v>334</v>
      </c>
      <c r="E15" s="3"/>
      <c r="F15" s="12"/>
    </row>
    <row r="16" spans="1:6" ht="30">
      <c r="A16" s="28">
        <v>10</v>
      </c>
      <c r="B16" s="18" t="s">
        <v>122</v>
      </c>
      <c r="C16" s="3" t="s">
        <v>115</v>
      </c>
      <c r="D16" s="3">
        <v>8</v>
      </c>
      <c r="E16" s="3"/>
      <c r="F16" s="12"/>
    </row>
    <row r="17" spans="1:6">
      <c r="A17" s="28">
        <v>11</v>
      </c>
      <c r="B17" s="18" t="s">
        <v>124</v>
      </c>
      <c r="C17" s="3" t="s">
        <v>118</v>
      </c>
      <c r="D17" s="3">
        <f>D11+(D9*2.5)</f>
        <v>1.7669999999999999</v>
      </c>
      <c r="E17" s="3"/>
      <c r="F17" s="12"/>
    </row>
    <row r="18" spans="1:6">
      <c r="A18" s="28">
        <v>12</v>
      </c>
      <c r="B18" s="21" t="s">
        <v>125</v>
      </c>
      <c r="C18" s="3" t="s">
        <v>118</v>
      </c>
      <c r="D18" s="3">
        <f>D17</f>
        <v>1.7669999999999999</v>
      </c>
      <c r="E18" s="3"/>
      <c r="F18" s="12"/>
    </row>
    <row r="19" spans="1:6">
      <c r="A19" s="28">
        <v>13</v>
      </c>
      <c r="B19" s="18" t="s">
        <v>127</v>
      </c>
      <c r="C19" s="3" t="s">
        <v>128</v>
      </c>
      <c r="D19" s="3">
        <v>50</v>
      </c>
      <c r="E19" s="3"/>
      <c r="F19" s="12"/>
    </row>
    <row r="20" spans="1:6">
      <c r="A20" s="28">
        <v>14</v>
      </c>
      <c r="B20" s="18" t="s">
        <v>386</v>
      </c>
      <c r="C20" s="28" t="s">
        <v>118</v>
      </c>
      <c r="D20" s="28">
        <f>D11</f>
        <v>0.56699999999999995</v>
      </c>
      <c r="E20" s="28"/>
      <c r="F20" s="12"/>
    </row>
    <row r="21" spans="1:6">
      <c r="A21" s="28">
        <v>15</v>
      </c>
      <c r="B21" s="18" t="s">
        <v>150</v>
      </c>
      <c r="C21" s="6" t="s">
        <v>51</v>
      </c>
      <c r="D21" s="3">
        <v>2</v>
      </c>
      <c r="E21" s="3"/>
      <c r="F21" s="12"/>
    </row>
    <row r="22" spans="1:6">
      <c r="A22" s="28">
        <v>16</v>
      </c>
      <c r="B22" s="18" t="s">
        <v>129</v>
      </c>
      <c r="C22" s="3" t="s">
        <v>115</v>
      </c>
      <c r="D22" s="3">
        <f>D16</f>
        <v>8</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159</v>
      </c>
      <c r="B3" s="64"/>
      <c r="C3" s="64"/>
      <c r="D3" s="64"/>
      <c r="E3" s="64"/>
      <c r="F3" s="64"/>
    </row>
    <row r="4" spans="1:6">
      <c r="A4" s="63" t="s">
        <v>48</v>
      </c>
      <c r="B4" s="64"/>
      <c r="C4" s="64"/>
      <c r="D4" s="64"/>
      <c r="E4" s="64"/>
      <c r="F4" s="64"/>
    </row>
    <row r="5" spans="1:6">
      <c r="A5" s="65" t="s">
        <v>160</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2</v>
      </c>
      <c r="E7" s="3"/>
      <c r="F7" s="12"/>
    </row>
    <row r="8" spans="1:6">
      <c r="A8" s="3">
        <v>2</v>
      </c>
      <c r="B8" s="18" t="s">
        <v>113</v>
      </c>
      <c r="C8" s="3" t="s">
        <v>47</v>
      </c>
      <c r="D8" s="3">
        <v>4</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17">
        <v>0.56699999999999995</v>
      </c>
      <c r="E11" s="17"/>
      <c r="F11" s="12"/>
    </row>
    <row r="12" spans="1:6">
      <c r="A12" s="28">
        <v>6</v>
      </c>
      <c r="B12" s="18" t="s">
        <v>123</v>
      </c>
      <c r="C12" s="3" t="s">
        <v>52</v>
      </c>
      <c r="D12" s="17">
        <v>35.4</v>
      </c>
      <c r="E12" s="17"/>
      <c r="F12" s="12"/>
    </row>
    <row r="13" spans="1:6">
      <c r="A13" s="28">
        <v>7</v>
      </c>
      <c r="B13" s="18" t="s">
        <v>130</v>
      </c>
      <c r="C13" s="3" t="s">
        <v>46</v>
      </c>
      <c r="D13" s="17">
        <f>D16*0.78</f>
        <v>6.24</v>
      </c>
      <c r="E13" s="17"/>
      <c r="F13" s="12"/>
    </row>
    <row r="14" spans="1:6">
      <c r="A14" s="28">
        <v>8</v>
      </c>
      <c r="B14" s="18" t="s">
        <v>120</v>
      </c>
      <c r="C14" s="3" t="s">
        <v>119</v>
      </c>
      <c r="D14" s="3">
        <f>101*2+4*4</f>
        <v>218</v>
      </c>
      <c r="E14" s="3"/>
      <c r="F14" s="12"/>
    </row>
    <row r="15" spans="1:6">
      <c r="A15" s="28">
        <v>9</v>
      </c>
      <c r="B15" s="21" t="s">
        <v>121</v>
      </c>
      <c r="C15" s="3" t="s">
        <v>51</v>
      </c>
      <c r="D15" s="3">
        <v>334</v>
      </c>
      <c r="E15" s="3"/>
      <c r="F15" s="12"/>
    </row>
    <row r="16" spans="1:6" ht="30">
      <c r="A16" s="28">
        <v>10</v>
      </c>
      <c r="B16" s="18" t="s">
        <v>122</v>
      </c>
      <c r="C16" s="3" t="s">
        <v>115</v>
      </c>
      <c r="D16" s="3">
        <v>8</v>
      </c>
      <c r="E16" s="3"/>
      <c r="F16" s="12"/>
    </row>
    <row r="17" spans="1:6">
      <c r="A17" s="28">
        <v>11</v>
      </c>
      <c r="B17" s="18" t="s">
        <v>124</v>
      </c>
      <c r="C17" s="3" t="s">
        <v>118</v>
      </c>
      <c r="D17" s="3">
        <f>D11+(D9*2.5)</f>
        <v>1.7669999999999999</v>
      </c>
      <c r="E17" s="3"/>
      <c r="F17" s="12"/>
    </row>
    <row r="18" spans="1:6">
      <c r="A18" s="28">
        <v>12</v>
      </c>
      <c r="B18" s="21" t="s">
        <v>125</v>
      </c>
      <c r="C18" s="3" t="s">
        <v>118</v>
      </c>
      <c r="D18" s="3">
        <f>D17</f>
        <v>1.7669999999999999</v>
      </c>
      <c r="E18" s="3"/>
      <c r="F18" s="12"/>
    </row>
    <row r="19" spans="1:6">
      <c r="A19" s="28">
        <v>13</v>
      </c>
      <c r="B19" s="18" t="s">
        <v>127</v>
      </c>
      <c r="C19" s="3" t="s">
        <v>128</v>
      </c>
      <c r="D19" s="3">
        <v>50</v>
      </c>
      <c r="E19" s="3"/>
      <c r="F19" s="12"/>
    </row>
    <row r="20" spans="1:6">
      <c r="A20" s="28">
        <v>14</v>
      </c>
      <c r="B20" s="18" t="s">
        <v>386</v>
      </c>
      <c r="C20" s="28" t="s">
        <v>118</v>
      </c>
      <c r="D20" s="28">
        <f>D11</f>
        <v>0.56699999999999995</v>
      </c>
      <c r="E20" s="28"/>
      <c r="F20" s="12"/>
    </row>
    <row r="21" spans="1:6">
      <c r="A21" s="28">
        <v>15</v>
      </c>
      <c r="B21" s="18" t="s">
        <v>150</v>
      </c>
      <c r="C21" s="6" t="s">
        <v>51</v>
      </c>
      <c r="D21" s="3">
        <v>2</v>
      </c>
      <c r="E21" s="3"/>
      <c r="F21" s="12"/>
    </row>
    <row r="22" spans="1:6">
      <c r="A22" s="28">
        <v>16</v>
      </c>
      <c r="B22" s="18" t="s">
        <v>129</v>
      </c>
      <c r="C22" s="3" t="s">
        <v>115</v>
      </c>
      <c r="D22" s="3">
        <f>D16</f>
        <v>8</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C4"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161</v>
      </c>
      <c r="B3" s="64"/>
      <c r="C3" s="64"/>
      <c r="D3" s="64"/>
      <c r="E3" s="64"/>
      <c r="F3" s="64"/>
    </row>
    <row r="4" spans="1:6">
      <c r="A4" s="63" t="s">
        <v>48</v>
      </c>
      <c r="B4" s="64"/>
      <c r="C4" s="64"/>
      <c r="D4" s="64"/>
      <c r="E4" s="64"/>
      <c r="F4" s="64"/>
    </row>
    <row r="5" spans="1:6">
      <c r="A5" s="65" t="s">
        <v>162</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2</v>
      </c>
      <c r="E7" s="3"/>
      <c r="F7" s="12"/>
    </row>
    <row r="8" spans="1:6">
      <c r="A8" s="3">
        <v>2</v>
      </c>
      <c r="B8" s="18" t="s">
        <v>113</v>
      </c>
      <c r="C8" s="3" t="s">
        <v>47</v>
      </c>
      <c r="D8" s="3">
        <v>4</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0.309</v>
      </c>
      <c r="E11" s="3"/>
      <c r="F11" s="12"/>
    </row>
    <row r="12" spans="1:6">
      <c r="A12" s="28">
        <v>6</v>
      </c>
      <c r="B12" s="18" t="s">
        <v>123</v>
      </c>
      <c r="C12" s="3" t="s">
        <v>52</v>
      </c>
      <c r="D12" s="3">
        <v>18.600000000000001</v>
      </c>
      <c r="E12" s="3"/>
      <c r="F12" s="12"/>
    </row>
    <row r="13" spans="1:6">
      <c r="A13" s="28">
        <v>7</v>
      </c>
      <c r="B13" s="18" t="s">
        <v>130</v>
      </c>
      <c r="C13" s="3" t="s">
        <v>46</v>
      </c>
      <c r="D13" s="3">
        <f>D16*0.78</f>
        <v>3.12</v>
      </c>
      <c r="E13" s="3"/>
      <c r="F13" s="12"/>
    </row>
    <row r="14" spans="1:6">
      <c r="A14" s="28">
        <v>8</v>
      </c>
      <c r="B14" s="18" t="s">
        <v>120</v>
      </c>
      <c r="C14" s="3" t="s">
        <v>119</v>
      </c>
      <c r="D14" s="3">
        <f>53*2+4*4</f>
        <v>122</v>
      </c>
      <c r="E14" s="3"/>
      <c r="F14" s="12"/>
    </row>
    <row r="15" spans="1:6">
      <c r="A15" s="28">
        <v>9</v>
      </c>
      <c r="B15" s="21" t="s">
        <v>121</v>
      </c>
      <c r="C15" s="3" t="s">
        <v>51</v>
      </c>
      <c r="D15" s="3">
        <v>174</v>
      </c>
      <c r="E15" s="3"/>
      <c r="F15" s="12"/>
    </row>
    <row r="16" spans="1:6" ht="30">
      <c r="A16" s="28">
        <v>10</v>
      </c>
      <c r="B16" s="18" t="s">
        <v>122</v>
      </c>
      <c r="C16" s="3" t="s">
        <v>115</v>
      </c>
      <c r="D16" s="3">
        <v>4</v>
      </c>
      <c r="E16" s="3"/>
      <c r="F16" s="12"/>
    </row>
    <row r="17" spans="1:6">
      <c r="A17" s="28">
        <v>11</v>
      </c>
      <c r="B17" s="18" t="s">
        <v>124</v>
      </c>
      <c r="C17" s="3" t="s">
        <v>118</v>
      </c>
      <c r="D17" s="3">
        <f>D11+(D9*2.5)</f>
        <v>1.5089999999999999</v>
      </c>
      <c r="E17" s="3"/>
      <c r="F17" s="12"/>
    </row>
    <row r="18" spans="1:6">
      <c r="A18" s="28">
        <v>12</v>
      </c>
      <c r="B18" s="21" t="s">
        <v>125</v>
      </c>
      <c r="C18" s="3" t="s">
        <v>118</v>
      </c>
      <c r="D18" s="3">
        <f>D17</f>
        <v>1.5089999999999999</v>
      </c>
      <c r="E18" s="3"/>
      <c r="F18" s="12"/>
    </row>
    <row r="19" spans="1:6">
      <c r="A19" s="28">
        <v>13</v>
      </c>
      <c r="B19" s="18" t="s">
        <v>127</v>
      </c>
      <c r="C19" s="3" t="s">
        <v>128</v>
      </c>
      <c r="D19" s="3">
        <v>50</v>
      </c>
      <c r="E19" s="3"/>
      <c r="F19" s="12"/>
    </row>
    <row r="20" spans="1:6">
      <c r="A20" s="28">
        <v>14</v>
      </c>
      <c r="B20" s="18" t="s">
        <v>386</v>
      </c>
      <c r="C20" s="28" t="s">
        <v>118</v>
      </c>
      <c r="D20" s="28">
        <f>D11</f>
        <v>0.309</v>
      </c>
      <c r="E20" s="28"/>
      <c r="F20" s="12"/>
    </row>
    <row r="21" spans="1:6">
      <c r="A21" s="28">
        <v>15</v>
      </c>
      <c r="B21" s="18" t="s">
        <v>150</v>
      </c>
      <c r="C21" s="6" t="s">
        <v>51</v>
      </c>
      <c r="D21" s="3">
        <v>2</v>
      </c>
      <c r="E21" s="3"/>
      <c r="F21" s="12"/>
    </row>
    <row r="22" spans="1:6">
      <c r="A22" s="28">
        <v>16</v>
      </c>
      <c r="B22" s="18" t="s">
        <v>129</v>
      </c>
      <c r="C22" s="3" t="s">
        <v>115</v>
      </c>
      <c r="D22" s="3">
        <f>D16</f>
        <v>4</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3"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163</v>
      </c>
      <c r="B3" s="64"/>
      <c r="C3" s="64"/>
      <c r="D3" s="64"/>
      <c r="E3" s="64"/>
      <c r="F3" s="64"/>
    </row>
    <row r="4" spans="1:6">
      <c r="A4" s="63" t="s">
        <v>48</v>
      </c>
      <c r="B4" s="64"/>
      <c r="C4" s="64"/>
      <c r="D4" s="64"/>
      <c r="E4" s="64"/>
      <c r="F4" s="64"/>
    </row>
    <row r="5" spans="1:6">
      <c r="A5" s="65" t="s">
        <v>164</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2</v>
      </c>
      <c r="E7" s="3"/>
      <c r="F7" s="12"/>
    </row>
    <row r="8" spans="1:6">
      <c r="A8" s="3">
        <v>2</v>
      </c>
      <c r="B8" s="18" t="s">
        <v>113</v>
      </c>
      <c r="C8" s="3" t="s">
        <v>47</v>
      </c>
      <c r="D8" s="3">
        <v>4</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17">
        <v>0.309</v>
      </c>
      <c r="E11" s="17"/>
      <c r="F11" s="12"/>
    </row>
    <row r="12" spans="1:6">
      <c r="A12" s="28">
        <v>6</v>
      </c>
      <c r="B12" s="18" t="s">
        <v>123</v>
      </c>
      <c r="C12" s="3" t="s">
        <v>52</v>
      </c>
      <c r="D12" s="17">
        <v>18.600000000000001</v>
      </c>
      <c r="E12" s="17"/>
      <c r="F12" s="12"/>
    </row>
    <row r="13" spans="1:6">
      <c r="A13" s="28">
        <v>7</v>
      </c>
      <c r="B13" s="18" t="s">
        <v>130</v>
      </c>
      <c r="C13" s="3" t="s">
        <v>46</v>
      </c>
      <c r="D13" s="17">
        <f>D16*0.78</f>
        <v>3.12</v>
      </c>
      <c r="E13" s="17"/>
      <c r="F13" s="12"/>
    </row>
    <row r="14" spans="1:6">
      <c r="A14" s="28">
        <v>8</v>
      </c>
      <c r="B14" s="18" t="s">
        <v>120</v>
      </c>
      <c r="C14" s="3" t="s">
        <v>119</v>
      </c>
      <c r="D14" s="3">
        <f>53*2+4*4</f>
        <v>122</v>
      </c>
      <c r="E14" s="3"/>
      <c r="F14" s="12"/>
    </row>
    <row r="15" spans="1:6">
      <c r="A15" s="28">
        <v>9</v>
      </c>
      <c r="B15" s="21" t="s">
        <v>121</v>
      </c>
      <c r="C15" s="3" t="s">
        <v>51</v>
      </c>
      <c r="D15" s="3">
        <v>174</v>
      </c>
      <c r="E15" s="3"/>
      <c r="F15" s="12"/>
    </row>
    <row r="16" spans="1:6" ht="30">
      <c r="A16" s="28">
        <v>10</v>
      </c>
      <c r="B16" s="18" t="s">
        <v>122</v>
      </c>
      <c r="C16" s="3" t="s">
        <v>115</v>
      </c>
      <c r="D16" s="3">
        <v>4</v>
      </c>
      <c r="E16" s="3"/>
      <c r="F16" s="12"/>
    </row>
    <row r="17" spans="1:6">
      <c r="A17" s="28">
        <v>11</v>
      </c>
      <c r="B17" s="18" t="s">
        <v>124</v>
      </c>
      <c r="C17" s="3" t="s">
        <v>118</v>
      </c>
      <c r="D17" s="3">
        <f>D11+(D9*2.5)</f>
        <v>1.5089999999999999</v>
      </c>
      <c r="E17" s="3"/>
      <c r="F17" s="12"/>
    </row>
    <row r="18" spans="1:6">
      <c r="A18" s="28">
        <v>12</v>
      </c>
      <c r="B18" s="21" t="s">
        <v>125</v>
      </c>
      <c r="C18" s="3" t="s">
        <v>118</v>
      </c>
      <c r="D18" s="3">
        <f>D17</f>
        <v>1.5089999999999999</v>
      </c>
      <c r="E18" s="3"/>
      <c r="F18" s="12"/>
    </row>
    <row r="19" spans="1:6">
      <c r="A19" s="28">
        <v>13</v>
      </c>
      <c r="B19" s="18" t="s">
        <v>127</v>
      </c>
      <c r="C19" s="3" t="s">
        <v>128</v>
      </c>
      <c r="D19" s="3">
        <v>50</v>
      </c>
      <c r="E19" s="3"/>
      <c r="F19" s="12"/>
    </row>
    <row r="20" spans="1:6">
      <c r="A20" s="28">
        <v>14</v>
      </c>
      <c r="B20" s="18" t="s">
        <v>386</v>
      </c>
      <c r="C20" s="28" t="s">
        <v>118</v>
      </c>
      <c r="D20" s="28">
        <f>D11</f>
        <v>0.309</v>
      </c>
      <c r="E20" s="28"/>
      <c r="F20" s="12"/>
    </row>
    <row r="21" spans="1:6">
      <c r="A21" s="28">
        <v>15</v>
      </c>
      <c r="B21" s="18" t="s">
        <v>150</v>
      </c>
      <c r="C21" s="6" t="s">
        <v>51</v>
      </c>
      <c r="D21" s="3">
        <v>2</v>
      </c>
      <c r="E21" s="3"/>
      <c r="F21" s="12"/>
    </row>
    <row r="22" spans="1:6">
      <c r="A22" s="28">
        <v>16</v>
      </c>
      <c r="B22" s="18" t="s">
        <v>129</v>
      </c>
      <c r="C22" s="3" t="s">
        <v>115</v>
      </c>
      <c r="D22" s="3">
        <f>D16</f>
        <v>4</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3"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165</v>
      </c>
      <c r="B3" s="64"/>
      <c r="C3" s="64"/>
      <c r="D3" s="64"/>
      <c r="E3" s="64"/>
      <c r="F3" s="64"/>
    </row>
    <row r="4" spans="1:6">
      <c r="A4" s="63" t="s">
        <v>48</v>
      </c>
      <c r="B4" s="64"/>
      <c r="C4" s="64"/>
      <c r="D4" s="64"/>
      <c r="E4" s="64"/>
      <c r="F4" s="64"/>
    </row>
    <row r="5" spans="1:6">
      <c r="A5" s="65" t="s">
        <v>166</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2</v>
      </c>
      <c r="E7" s="3"/>
      <c r="F7" s="12"/>
    </row>
    <row r="8" spans="1:6">
      <c r="A8" s="3">
        <v>2</v>
      </c>
      <c r="B8" s="18" t="s">
        <v>113</v>
      </c>
      <c r="C8" s="3" t="s">
        <v>47</v>
      </c>
      <c r="D8" s="3">
        <v>4</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17">
        <v>0.309</v>
      </c>
      <c r="E11" s="17"/>
      <c r="F11" s="12"/>
    </row>
    <row r="12" spans="1:6">
      <c r="A12" s="28">
        <v>6</v>
      </c>
      <c r="B12" s="18" t="s">
        <v>123</v>
      </c>
      <c r="C12" s="3" t="s">
        <v>52</v>
      </c>
      <c r="D12" s="17">
        <v>18.600000000000001</v>
      </c>
      <c r="E12" s="17"/>
      <c r="F12" s="12"/>
    </row>
    <row r="13" spans="1:6">
      <c r="A13" s="28">
        <v>7</v>
      </c>
      <c r="B13" s="18" t="s">
        <v>130</v>
      </c>
      <c r="C13" s="3" t="s">
        <v>46</v>
      </c>
      <c r="D13" s="17">
        <f>D16*0.78</f>
        <v>3.12</v>
      </c>
      <c r="E13" s="17"/>
      <c r="F13" s="12"/>
    </row>
    <row r="14" spans="1:6">
      <c r="A14" s="28">
        <v>8</v>
      </c>
      <c r="B14" s="18" t="s">
        <v>120</v>
      </c>
      <c r="C14" s="3" t="s">
        <v>119</v>
      </c>
      <c r="D14" s="3">
        <f>53*2+4*4</f>
        <v>122</v>
      </c>
      <c r="E14" s="3"/>
      <c r="F14" s="12"/>
    </row>
    <row r="15" spans="1:6">
      <c r="A15" s="28">
        <v>9</v>
      </c>
      <c r="B15" s="21" t="s">
        <v>121</v>
      </c>
      <c r="C15" s="3" t="s">
        <v>51</v>
      </c>
      <c r="D15" s="3">
        <v>174</v>
      </c>
      <c r="E15" s="3"/>
      <c r="F15" s="12"/>
    </row>
    <row r="16" spans="1:6" ht="30">
      <c r="A16" s="28">
        <v>10</v>
      </c>
      <c r="B16" s="18" t="s">
        <v>122</v>
      </c>
      <c r="C16" s="3" t="s">
        <v>115</v>
      </c>
      <c r="D16" s="3">
        <v>4</v>
      </c>
      <c r="E16" s="3"/>
      <c r="F16" s="12"/>
    </row>
    <row r="17" spans="1:6">
      <c r="A17" s="28">
        <v>11</v>
      </c>
      <c r="B17" s="18" t="s">
        <v>124</v>
      </c>
      <c r="C17" s="3" t="s">
        <v>118</v>
      </c>
      <c r="D17" s="3">
        <f>D11+(D9*2.5)</f>
        <v>1.5089999999999999</v>
      </c>
      <c r="E17" s="3"/>
      <c r="F17" s="12"/>
    </row>
    <row r="18" spans="1:6">
      <c r="A18" s="28">
        <v>12</v>
      </c>
      <c r="B18" s="21" t="s">
        <v>125</v>
      </c>
      <c r="C18" s="3" t="s">
        <v>118</v>
      </c>
      <c r="D18" s="3">
        <f>D17</f>
        <v>1.5089999999999999</v>
      </c>
      <c r="E18" s="3"/>
      <c r="F18" s="12"/>
    </row>
    <row r="19" spans="1:6">
      <c r="A19" s="28">
        <v>13</v>
      </c>
      <c r="B19" s="18" t="s">
        <v>127</v>
      </c>
      <c r="C19" s="3" t="s">
        <v>128</v>
      </c>
      <c r="D19" s="3">
        <v>50</v>
      </c>
      <c r="E19" s="3"/>
      <c r="F19" s="12"/>
    </row>
    <row r="20" spans="1:6">
      <c r="A20" s="28">
        <v>14</v>
      </c>
      <c r="B20" s="18" t="s">
        <v>386</v>
      </c>
      <c r="C20" s="28" t="s">
        <v>118</v>
      </c>
      <c r="D20" s="28">
        <f>D11</f>
        <v>0.309</v>
      </c>
      <c r="E20" s="28"/>
      <c r="F20" s="12"/>
    </row>
    <row r="21" spans="1:6">
      <c r="A21" s="28">
        <v>15</v>
      </c>
      <c r="B21" s="18" t="s">
        <v>150</v>
      </c>
      <c r="C21" s="6" t="s">
        <v>51</v>
      </c>
      <c r="D21" s="3">
        <v>2</v>
      </c>
      <c r="E21" s="3"/>
      <c r="F21" s="12"/>
    </row>
    <row r="22" spans="1:6">
      <c r="A22" s="28">
        <v>16</v>
      </c>
      <c r="B22" s="18" t="s">
        <v>129</v>
      </c>
      <c r="C22" s="3" t="s">
        <v>115</v>
      </c>
      <c r="D22" s="3">
        <f>D16</f>
        <v>4</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E15"/>
  <sheetViews>
    <sheetView zoomScaleNormal="100" workbookViewId="0">
      <selection sqref="A1:D11"/>
    </sheetView>
  </sheetViews>
  <sheetFormatPr defaultRowHeight="15"/>
  <cols>
    <col min="1" max="1" width="5.7109375" customWidth="1"/>
    <col min="2" max="2" width="14.7109375" customWidth="1"/>
    <col min="3" max="3" width="56.140625" customWidth="1"/>
    <col min="4" max="4" width="26.7109375" customWidth="1"/>
    <col min="5" max="5" width="9.85546875" bestFit="1" customWidth="1"/>
  </cols>
  <sheetData>
    <row r="1" spans="1:5" ht="15" customHeight="1">
      <c r="A1" s="48" t="s">
        <v>49</v>
      </c>
      <c r="B1" s="48"/>
      <c r="C1" s="48"/>
      <c r="D1" s="48"/>
    </row>
    <row r="2" spans="1:5">
      <c r="A2" s="49" t="s">
        <v>4</v>
      </c>
      <c r="B2" s="49"/>
      <c r="C2" s="49"/>
      <c r="D2" s="49"/>
    </row>
    <row r="3" spans="1:5" s="1" customFormat="1" ht="15" customHeight="1">
      <c r="A3" s="50" t="s">
        <v>1</v>
      </c>
      <c r="B3" s="50" t="s">
        <v>0</v>
      </c>
      <c r="C3" s="51" t="s">
        <v>387</v>
      </c>
      <c r="D3" s="53" t="s">
        <v>3</v>
      </c>
    </row>
    <row r="4" spans="1:5" s="1" customFormat="1" ht="15" customHeight="1">
      <c r="A4" s="50"/>
      <c r="B4" s="50"/>
      <c r="C4" s="52"/>
      <c r="D4" s="53"/>
    </row>
    <row r="5" spans="1:5">
      <c r="A5" s="2" t="s">
        <v>5</v>
      </c>
      <c r="B5" s="2" t="s">
        <v>6</v>
      </c>
      <c r="C5" s="2" t="s">
        <v>9</v>
      </c>
      <c r="D5" s="12">
        <f>'ჯამური სამშ.სამუშ.'!D8</f>
        <v>0</v>
      </c>
    </row>
    <row r="6" spans="1:5">
      <c r="A6" s="2" t="s">
        <v>7</v>
      </c>
      <c r="B6" s="2" t="s">
        <v>8</v>
      </c>
      <c r="C6" s="2" t="s">
        <v>10</v>
      </c>
      <c r="D6" s="12">
        <f ca="1">'დღიური-ნაკრები'!D9</f>
        <v>0</v>
      </c>
    </row>
    <row r="7" spans="1:5">
      <c r="A7" s="2"/>
      <c r="B7" s="2"/>
      <c r="C7" s="2" t="s">
        <v>11</v>
      </c>
      <c r="D7" s="12">
        <f ca="1">D5+D6</f>
        <v>0</v>
      </c>
    </row>
    <row r="8" spans="1:5">
      <c r="A8" s="2"/>
      <c r="B8" s="2"/>
      <c r="C8" s="2" t="s">
        <v>12</v>
      </c>
      <c r="D8" s="12">
        <f ca="1">D7*18%</f>
        <v>0</v>
      </c>
    </row>
    <row r="9" spans="1:5">
      <c r="A9" s="2"/>
      <c r="B9" s="2"/>
      <c r="C9" s="45" t="s">
        <v>388</v>
      </c>
      <c r="D9" s="16">
        <f ca="1">D7+D8</f>
        <v>0</v>
      </c>
    </row>
    <row r="10" spans="1:5">
      <c r="A10" s="45"/>
      <c r="B10" s="45"/>
      <c r="C10" s="45" t="s">
        <v>389</v>
      </c>
      <c r="D10" s="12">
        <f ca="1">D9*5%</f>
        <v>0</v>
      </c>
    </row>
    <row r="11" spans="1:5">
      <c r="A11" s="45"/>
      <c r="B11" s="45"/>
      <c r="C11" s="47" t="s">
        <v>13</v>
      </c>
      <c r="D11" s="12">
        <f ca="1">D9+D10</f>
        <v>0</v>
      </c>
    </row>
    <row r="14" spans="1:5">
      <c r="E14" s="20"/>
    </row>
    <row r="15" spans="1:5">
      <c r="D15" s="20"/>
    </row>
  </sheetData>
  <mergeCells count="6">
    <mergeCell ref="A1:D1"/>
    <mergeCell ref="A2:D2"/>
    <mergeCell ref="A3:A4"/>
    <mergeCell ref="B3:B4"/>
    <mergeCell ref="C3:C4"/>
    <mergeCell ref="D3:D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C3"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167</v>
      </c>
      <c r="B3" s="64"/>
      <c r="C3" s="64"/>
      <c r="D3" s="64"/>
      <c r="E3" s="64"/>
      <c r="F3" s="64"/>
    </row>
    <row r="4" spans="1:6">
      <c r="A4" s="63" t="s">
        <v>48</v>
      </c>
      <c r="B4" s="64"/>
      <c r="C4" s="64"/>
      <c r="D4" s="64"/>
      <c r="E4" s="64"/>
      <c r="F4" s="64"/>
    </row>
    <row r="5" spans="1:6">
      <c r="A5" s="65" t="s">
        <v>168</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8</v>
      </c>
      <c r="E7" s="3"/>
      <c r="F7" s="12"/>
    </row>
    <row r="8" spans="1:6">
      <c r="A8" s="3">
        <v>2</v>
      </c>
      <c r="B8" s="18" t="s">
        <v>113</v>
      </c>
      <c r="C8" s="3" t="s">
        <v>47</v>
      </c>
      <c r="D8" s="3">
        <v>16</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1.131</v>
      </c>
      <c r="E11" s="3"/>
      <c r="F11" s="12"/>
    </row>
    <row r="12" spans="1:6">
      <c r="A12" s="28">
        <v>6</v>
      </c>
      <c r="B12" s="18" t="s">
        <v>123</v>
      </c>
      <c r="C12" s="3" t="s">
        <v>52</v>
      </c>
      <c r="D12" s="3">
        <v>60</v>
      </c>
      <c r="E12" s="3"/>
      <c r="F12" s="12"/>
    </row>
    <row r="13" spans="1:6">
      <c r="A13" s="28">
        <v>7</v>
      </c>
      <c r="B13" s="18" t="s">
        <v>130</v>
      </c>
      <c r="C13" s="3" t="s">
        <v>46</v>
      </c>
      <c r="D13" s="3">
        <f>D16*0.78</f>
        <v>12.48</v>
      </c>
      <c r="E13" s="3"/>
      <c r="F13" s="12"/>
    </row>
    <row r="14" spans="1:6">
      <c r="A14" s="28">
        <v>8</v>
      </c>
      <c r="B14" s="18" t="s">
        <v>120</v>
      </c>
      <c r="C14" s="3" t="s">
        <v>119</v>
      </c>
      <c r="D14" s="3">
        <f>197*2+4*4</f>
        <v>410</v>
      </c>
      <c r="E14" s="3"/>
      <c r="F14" s="12"/>
    </row>
    <row r="15" spans="1:6">
      <c r="A15" s="28">
        <v>9</v>
      </c>
      <c r="B15" s="21" t="s">
        <v>121</v>
      </c>
      <c r="C15" s="3" t="s">
        <v>51</v>
      </c>
      <c r="D15" s="3">
        <v>654</v>
      </c>
      <c r="E15" s="3"/>
      <c r="F15" s="12"/>
    </row>
    <row r="16" spans="1:6" ht="30">
      <c r="A16" s="28">
        <v>10</v>
      </c>
      <c r="B16" s="18" t="s">
        <v>122</v>
      </c>
      <c r="C16" s="3" t="s">
        <v>115</v>
      </c>
      <c r="D16" s="3">
        <v>16</v>
      </c>
      <c r="E16" s="3"/>
      <c r="F16" s="12"/>
    </row>
    <row r="17" spans="1:6">
      <c r="A17" s="28">
        <v>11</v>
      </c>
      <c r="B17" s="18" t="s">
        <v>124</v>
      </c>
      <c r="C17" s="3" t="s">
        <v>118</v>
      </c>
      <c r="D17" s="3">
        <f>D11+(D9*2.5)</f>
        <v>2.331</v>
      </c>
      <c r="E17" s="3"/>
      <c r="F17" s="12"/>
    </row>
    <row r="18" spans="1:6">
      <c r="A18" s="28">
        <v>12</v>
      </c>
      <c r="B18" s="21" t="s">
        <v>125</v>
      </c>
      <c r="C18" s="3" t="s">
        <v>118</v>
      </c>
      <c r="D18" s="3">
        <f>D17</f>
        <v>2.331</v>
      </c>
      <c r="E18" s="3"/>
      <c r="F18" s="12"/>
    </row>
    <row r="19" spans="1:6">
      <c r="A19" s="28">
        <v>13</v>
      </c>
      <c r="B19" s="18" t="s">
        <v>127</v>
      </c>
      <c r="C19" s="3" t="s">
        <v>128</v>
      </c>
      <c r="D19" s="3">
        <v>50</v>
      </c>
      <c r="E19" s="3"/>
      <c r="F19" s="12"/>
    </row>
    <row r="20" spans="1:6">
      <c r="A20" s="28">
        <v>14</v>
      </c>
      <c r="B20" s="18" t="s">
        <v>386</v>
      </c>
      <c r="C20" s="28" t="s">
        <v>118</v>
      </c>
      <c r="D20" s="28">
        <f>D11</f>
        <v>1.131</v>
      </c>
      <c r="E20" s="28"/>
      <c r="F20" s="12"/>
    </row>
    <row r="21" spans="1:6">
      <c r="A21" s="28">
        <v>15</v>
      </c>
      <c r="B21" s="18" t="s">
        <v>150</v>
      </c>
      <c r="C21" s="6" t="s">
        <v>51</v>
      </c>
      <c r="D21" s="3">
        <v>2</v>
      </c>
      <c r="E21" s="3"/>
      <c r="F21" s="12"/>
    </row>
    <row r="22" spans="1:6">
      <c r="A22" s="28">
        <v>16</v>
      </c>
      <c r="B22" s="18" t="s">
        <v>129</v>
      </c>
      <c r="C22" s="3" t="s">
        <v>115</v>
      </c>
      <c r="D22" s="3">
        <f>D16</f>
        <v>16</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3"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169</v>
      </c>
      <c r="B3" s="64"/>
      <c r="C3" s="64"/>
      <c r="D3" s="64"/>
      <c r="E3" s="64"/>
      <c r="F3" s="64"/>
    </row>
    <row r="4" spans="1:6">
      <c r="A4" s="63" t="s">
        <v>48</v>
      </c>
      <c r="B4" s="64"/>
      <c r="C4" s="64"/>
      <c r="D4" s="64"/>
      <c r="E4" s="64"/>
      <c r="F4" s="64"/>
    </row>
    <row r="5" spans="1:6">
      <c r="A5" s="65" t="s">
        <v>170</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8</v>
      </c>
      <c r="E7" s="3"/>
      <c r="F7" s="12"/>
    </row>
    <row r="8" spans="1:6">
      <c r="A8" s="3">
        <v>2</v>
      </c>
      <c r="B8" s="18" t="s">
        <v>113</v>
      </c>
      <c r="C8" s="3" t="s">
        <v>47</v>
      </c>
      <c r="D8" s="3">
        <v>16</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17">
        <v>1.131</v>
      </c>
      <c r="E11" s="17"/>
      <c r="F11" s="12"/>
    </row>
    <row r="12" spans="1:6">
      <c r="A12" s="28">
        <v>6</v>
      </c>
      <c r="B12" s="18" t="s">
        <v>123</v>
      </c>
      <c r="C12" s="3" t="s">
        <v>52</v>
      </c>
      <c r="D12" s="17">
        <v>60</v>
      </c>
      <c r="E12" s="17"/>
      <c r="F12" s="12"/>
    </row>
    <row r="13" spans="1:6">
      <c r="A13" s="28">
        <v>7</v>
      </c>
      <c r="B13" s="18" t="s">
        <v>130</v>
      </c>
      <c r="C13" s="3" t="s">
        <v>46</v>
      </c>
      <c r="D13" s="17">
        <f>D16*0.78</f>
        <v>12.48</v>
      </c>
      <c r="E13" s="17"/>
      <c r="F13" s="12"/>
    </row>
    <row r="14" spans="1:6">
      <c r="A14" s="28">
        <v>8</v>
      </c>
      <c r="B14" s="18" t="s">
        <v>120</v>
      </c>
      <c r="C14" s="3" t="s">
        <v>119</v>
      </c>
      <c r="D14" s="3">
        <f>197*2+4*4</f>
        <v>410</v>
      </c>
      <c r="E14" s="3"/>
      <c r="F14" s="12"/>
    </row>
    <row r="15" spans="1:6">
      <c r="A15" s="28">
        <v>9</v>
      </c>
      <c r="B15" s="21" t="s">
        <v>121</v>
      </c>
      <c r="C15" s="3" t="s">
        <v>51</v>
      </c>
      <c r="D15" s="3">
        <v>654</v>
      </c>
      <c r="E15" s="3"/>
      <c r="F15" s="12"/>
    </row>
    <row r="16" spans="1:6" ht="30">
      <c r="A16" s="28">
        <v>10</v>
      </c>
      <c r="B16" s="18" t="s">
        <v>122</v>
      </c>
      <c r="C16" s="3" t="s">
        <v>115</v>
      </c>
      <c r="D16" s="3">
        <v>16</v>
      </c>
      <c r="E16" s="3"/>
      <c r="F16" s="12"/>
    </row>
    <row r="17" spans="1:6">
      <c r="A17" s="28">
        <v>11</v>
      </c>
      <c r="B17" s="18" t="s">
        <v>124</v>
      </c>
      <c r="C17" s="3" t="s">
        <v>118</v>
      </c>
      <c r="D17" s="3">
        <f>D11+(D9*2.5)</f>
        <v>2.331</v>
      </c>
      <c r="E17" s="3"/>
      <c r="F17" s="12"/>
    </row>
    <row r="18" spans="1:6">
      <c r="A18" s="28">
        <v>12</v>
      </c>
      <c r="B18" s="21" t="s">
        <v>125</v>
      </c>
      <c r="C18" s="3" t="s">
        <v>118</v>
      </c>
      <c r="D18" s="3">
        <f>D17</f>
        <v>2.331</v>
      </c>
      <c r="E18" s="3"/>
      <c r="F18" s="12"/>
    </row>
    <row r="19" spans="1:6">
      <c r="A19" s="28">
        <v>13</v>
      </c>
      <c r="B19" s="18" t="s">
        <v>127</v>
      </c>
      <c r="C19" s="3" t="s">
        <v>128</v>
      </c>
      <c r="D19" s="3">
        <v>50</v>
      </c>
      <c r="E19" s="3"/>
      <c r="F19" s="12"/>
    </row>
    <row r="20" spans="1:6">
      <c r="A20" s="28">
        <v>14</v>
      </c>
      <c r="B20" s="18" t="s">
        <v>386</v>
      </c>
      <c r="C20" s="28" t="s">
        <v>118</v>
      </c>
      <c r="D20" s="28">
        <f>D11</f>
        <v>1.131</v>
      </c>
      <c r="E20" s="28"/>
      <c r="F20" s="12"/>
    </row>
    <row r="21" spans="1:6">
      <c r="A21" s="28">
        <v>15</v>
      </c>
      <c r="B21" s="18" t="s">
        <v>150</v>
      </c>
      <c r="C21" s="6" t="s">
        <v>51</v>
      </c>
      <c r="D21" s="3">
        <v>2</v>
      </c>
      <c r="E21" s="3"/>
      <c r="F21" s="12"/>
    </row>
    <row r="22" spans="1:6">
      <c r="A22" s="28">
        <v>16</v>
      </c>
      <c r="B22" s="18" t="s">
        <v>129</v>
      </c>
      <c r="C22" s="3" t="s">
        <v>115</v>
      </c>
      <c r="D22" s="3">
        <f>D16</f>
        <v>16</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3"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171</v>
      </c>
      <c r="B3" s="64"/>
      <c r="C3" s="64"/>
      <c r="D3" s="64"/>
      <c r="E3" s="64"/>
      <c r="F3" s="64"/>
    </row>
    <row r="4" spans="1:6">
      <c r="A4" s="63" t="s">
        <v>48</v>
      </c>
      <c r="B4" s="64"/>
      <c r="C4" s="64"/>
      <c r="D4" s="64"/>
      <c r="E4" s="64"/>
      <c r="F4" s="64"/>
    </row>
    <row r="5" spans="1:6">
      <c r="A5" s="65" t="s">
        <v>172</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2</v>
      </c>
      <c r="E7" s="3"/>
      <c r="F7" s="12"/>
    </row>
    <row r="8" spans="1:6">
      <c r="A8" s="3">
        <v>2</v>
      </c>
      <c r="B8" s="18" t="s">
        <v>113</v>
      </c>
      <c r="C8" s="3" t="s">
        <v>47</v>
      </c>
      <c r="D8" s="3">
        <v>4</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0.56699999999999995</v>
      </c>
      <c r="E11" s="3"/>
      <c r="F11" s="12"/>
    </row>
    <row r="12" spans="1:6">
      <c r="A12" s="28">
        <v>6</v>
      </c>
      <c r="B12" s="18" t="s">
        <v>123</v>
      </c>
      <c r="C12" s="3" t="s">
        <v>52</v>
      </c>
      <c r="D12" s="3">
        <v>35.4</v>
      </c>
      <c r="E12" s="3"/>
      <c r="F12" s="12"/>
    </row>
    <row r="13" spans="1:6">
      <c r="A13" s="28">
        <v>7</v>
      </c>
      <c r="B13" s="18" t="s">
        <v>130</v>
      </c>
      <c r="C13" s="3" t="s">
        <v>46</v>
      </c>
      <c r="D13" s="3">
        <f>D16*0.78</f>
        <v>6.24</v>
      </c>
      <c r="E13" s="3"/>
      <c r="F13" s="12"/>
    </row>
    <row r="14" spans="1:6">
      <c r="A14" s="28">
        <v>8</v>
      </c>
      <c r="B14" s="18" t="s">
        <v>120</v>
      </c>
      <c r="C14" s="3" t="s">
        <v>119</v>
      </c>
      <c r="D14" s="3">
        <f>101*2+4*4</f>
        <v>218</v>
      </c>
      <c r="E14" s="3"/>
      <c r="F14" s="12"/>
    </row>
    <row r="15" spans="1:6">
      <c r="A15" s="28">
        <v>9</v>
      </c>
      <c r="B15" s="21" t="s">
        <v>121</v>
      </c>
      <c r="C15" s="3" t="s">
        <v>51</v>
      </c>
      <c r="D15" s="3">
        <v>334</v>
      </c>
      <c r="E15" s="3"/>
      <c r="F15" s="12"/>
    </row>
    <row r="16" spans="1:6" ht="30">
      <c r="A16" s="28">
        <v>10</v>
      </c>
      <c r="B16" s="18" t="s">
        <v>122</v>
      </c>
      <c r="C16" s="3" t="s">
        <v>115</v>
      </c>
      <c r="D16" s="3">
        <v>8</v>
      </c>
      <c r="E16" s="3"/>
      <c r="F16" s="12"/>
    </row>
    <row r="17" spans="1:6">
      <c r="A17" s="28">
        <v>11</v>
      </c>
      <c r="B17" s="18" t="s">
        <v>124</v>
      </c>
      <c r="C17" s="3" t="s">
        <v>118</v>
      </c>
      <c r="D17" s="3">
        <f>D11+(D9*2.5)</f>
        <v>1.7669999999999999</v>
      </c>
      <c r="E17" s="3"/>
      <c r="F17" s="12"/>
    </row>
    <row r="18" spans="1:6">
      <c r="A18" s="28">
        <v>12</v>
      </c>
      <c r="B18" s="21" t="s">
        <v>125</v>
      </c>
      <c r="C18" s="3" t="s">
        <v>118</v>
      </c>
      <c r="D18" s="3">
        <f>D17</f>
        <v>1.7669999999999999</v>
      </c>
      <c r="E18" s="3"/>
      <c r="F18" s="12"/>
    </row>
    <row r="19" spans="1:6">
      <c r="A19" s="28">
        <v>13</v>
      </c>
      <c r="B19" s="18" t="s">
        <v>127</v>
      </c>
      <c r="C19" s="3" t="s">
        <v>128</v>
      </c>
      <c r="D19" s="3">
        <v>50</v>
      </c>
      <c r="E19" s="3"/>
      <c r="F19" s="12"/>
    </row>
    <row r="20" spans="1:6">
      <c r="A20" s="28">
        <v>14</v>
      </c>
      <c r="B20" s="18" t="s">
        <v>386</v>
      </c>
      <c r="C20" s="28" t="s">
        <v>118</v>
      </c>
      <c r="D20" s="28">
        <f>D11</f>
        <v>0.56699999999999995</v>
      </c>
      <c r="E20" s="28"/>
      <c r="F20" s="12"/>
    </row>
    <row r="21" spans="1:6">
      <c r="A21" s="28">
        <v>15</v>
      </c>
      <c r="B21" s="18" t="s">
        <v>150</v>
      </c>
      <c r="C21" s="6" t="s">
        <v>51</v>
      </c>
      <c r="D21" s="3">
        <v>2</v>
      </c>
      <c r="E21" s="3"/>
      <c r="F21" s="12"/>
    </row>
    <row r="22" spans="1:6">
      <c r="A22" s="28">
        <v>16</v>
      </c>
      <c r="B22" s="18" t="s">
        <v>129</v>
      </c>
      <c r="C22" s="3" t="s">
        <v>115</v>
      </c>
      <c r="D22" s="3">
        <f>D16</f>
        <v>8</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C5"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173</v>
      </c>
      <c r="B3" s="64"/>
      <c r="C3" s="64"/>
      <c r="D3" s="64"/>
      <c r="E3" s="64"/>
      <c r="F3" s="64"/>
    </row>
    <row r="4" spans="1:6">
      <c r="A4" s="63" t="s">
        <v>48</v>
      </c>
      <c r="B4" s="64"/>
      <c r="C4" s="64"/>
      <c r="D4" s="64"/>
      <c r="E4" s="64"/>
      <c r="F4" s="64"/>
    </row>
    <row r="5" spans="1:6">
      <c r="A5" s="65" t="s">
        <v>174</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4</v>
      </c>
      <c r="E7" s="3"/>
      <c r="F7" s="12"/>
    </row>
    <row r="8" spans="1:6">
      <c r="A8" s="3">
        <v>2</v>
      </c>
      <c r="B8" s="18" t="s">
        <v>113</v>
      </c>
      <c r="C8" s="3" t="s">
        <v>47</v>
      </c>
      <c r="D8" s="3">
        <v>8</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17">
        <v>0.56699999999999995</v>
      </c>
      <c r="E11" s="17"/>
      <c r="F11" s="12"/>
    </row>
    <row r="12" spans="1:6">
      <c r="A12" s="28">
        <v>6</v>
      </c>
      <c r="B12" s="18" t="s">
        <v>123</v>
      </c>
      <c r="C12" s="3" t="s">
        <v>52</v>
      </c>
      <c r="D12" s="17">
        <v>35.4</v>
      </c>
      <c r="E12" s="17"/>
      <c r="F12" s="12"/>
    </row>
    <row r="13" spans="1:6">
      <c r="A13" s="28">
        <v>7</v>
      </c>
      <c r="B13" s="18" t="s">
        <v>130</v>
      </c>
      <c r="C13" s="3" t="s">
        <v>46</v>
      </c>
      <c r="D13" s="17">
        <f>D16*0.78</f>
        <v>6.24</v>
      </c>
      <c r="E13" s="17"/>
      <c r="F13" s="12"/>
    </row>
    <row r="14" spans="1:6">
      <c r="A14" s="28">
        <v>8</v>
      </c>
      <c r="B14" s="18" t="s">
        <v>120</v>
      </c>
      <c r="C14" s="3" t="s">
        <v>119</v>
      </c>
      <c r="D14" s="3">
        <f>101*2+4*4</f>
        <v>218</v>
      </c>
      <c r="E14" s="3"/>
      <c r="F14" s="12"/>
    </row>
    <row r="15" spans="1:6">
      <c r="A15" s="28">
        <v>9</v>
      </c>
      <c r="B15" s="21" t="s">
        <v>121</v>
      </c>
      <c r="C15" s="3" t="s">
        <v>51</v>
      </c>
      <c r="D15" s="3">
        <v>334</v>
      </c>
      <c r="E15" s="3"/>
      <c r="F15" s="12"/>
    </row>
    <row r="16" spans="1:6" ht="30">
      <c r="A16" s="28">
        <v>10</v>
      </c>
      <c r="B16" s="18" t="s">
        <v>122</v>
      </c>
      <c r="C16" s="3" t="s">
        <v>115</v>
      </c>
      <c r="D16" s="3">
        <v>8</v>
      </c>
      <c r="E16" s="3"/>
      <c r="F16" s="12"/>
    </row>
    <row r="17" spans="1:6">
      <c r="A17" s="28">
        <v>11</v>
      </c>
      <c r="B17" s="18" t="s">
        <v>124</v>
      </c>
      <c r="C17" s="3" t="s">
        <v>118</v>
      </c>
      <c r="D17" s="3">
        <f>D11+(D9*2.5)</f>
        <v>1.7669999999999999</v>
      </c>
      <c r="E17" s="3"/>
      <c r="F17" s="12"/>
    </row>
    <row r="18" spans="1:6">
      <c r="A18" s="28">
        <v>12</v>
      </c>
      <c r="B18" s="21" t="s">
        <v>125</v>
      </c>
      <c r="C18" s="3" t="s">
        <v>118</v>
      </c>
      <c r="D18" s="3">
        <f>D17</f>
        <v>1.7669999999999999</v>
      </c>
      <c r="E18" s="3"/>
      <c r="F18" s="12"/>
    </row>
    <row r="19" spans="1:6">
      <c r="A19" s="28">
        <v>13</v>
      </c>
      <c r="B19" s="18" t="s">
        <v>127</v>
      </c>
      <c r="C19" s="3" t="s">
        <v>128</v>
      </c>
      <c r="D19" s="3">
        <v>50</v>
      </c>
      <c r="E19" s="3"/>
      <c r="F19" s="12"/>
    </row>
    <row r="20" spans="1:6">
      <c r="A20" s="28">
        <v>14</v>
      </c>
      <c r="B20" s="18" t="s">
        <v>386</v>
      </c>
      <c r="C20" s="28" t="s">
        <v>118</v>
      </c>
      <c r="D20" s="28">
        <f>D11</f>
        <v>0.56699999999999995</v>
      </c>
      <c r="E20" s="28"/>
      <c r="F20" s="12"/>
    </row>
    <row r="21" spans="1:6">
      <c r="A21" s="28">
        <v>15</v>
      </c>
      <c r="B21" s="18" t="s">
        <v>150</v>
      </c>
      <c r="C21" s="6" t="s">
        <v>51</v>
      </c>
      <c r="D21" s="3">
        <v>2</v>
      </c>
      <c r="E21" s="3"/>
      <c r="F21" s="12"/>
    </row>
    <row r="22" spans="1:6">
      <c r="A22" s="28">
        <v>16</v>
      </c>
      <c r="B22" s="18" t="s">
        <v>129</v>
      </c>
      <c r="C22" s="3" t="s">
        <v>115</v>
      </c>
      <c r="D22" s="3">
        <f>D16</f>
        <v>8</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B5"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175</v>
      </c>
      <c r="B3" s="64"/>
      <c r="C3" s="64"/>
      <c r="D3" s="64"/>
      <c r="E3" s="64"/>
      <c r="F3" s="64"/>
    </row>
    <row r="4" spans="1:6">
      <c r="A4" s="63" t="s">
        <v>48</v>
      </c>
      <c r="B4" s="64"/>
      <c r="C4" s="64"/>
      <c r="D4" s="64"/>
      <c r="E4" s="64"/>
      <c r="F4" s="64"/>
    </row>
    <row r="5" spans="1:6">
      <c r="A5" s="65" t="s">
        <v>176</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2</v>
      </c>
      <c r="E7" s="3"/>
      <c r="F7" s="12"/>
    </row>
    <row r="8" spans="1:6">
      <c r="A8" s="3">
        <v>2</v>
      </c>
      <c r="B8" s="18" t="s">
        <v>113</v>
      </c>
      <c r="C8" s="3" t="s">
        <v>47</v>
      </c>
      <c r="D8" s="3">
        <v>4</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17">
        <v>0.56699999999999995</v>
      </c>
      <c r="E11" s="17"/>
      <c r="F11" s="12"/>
    </row>
    <row r="12" spans="1:6">
      <c r="A12" s="28">
        <v>6</v>
      </c>
      <c r="B12" s="18" t="s">
        <v>123</v>
      </c>
      <c r="C12" s="3" t="s">
        <v>52</v>
      </c>
      <c r="D12" s="17">
        <v>35.4</v>
      </c>
      <c r="E12" s="17"/>
      <c r="F12" s="12"/>
    </row>
    <row r="13" spans="1:6">
      <c r="A13" s="28">
        <v>7</v>
      </c>
      <c r="B13" s="18" t="s">
        <v>130</v>
      </c>
      <c r="C13" s="3" t="s">
        <v>46</v>
      </c>
      <c r="D13" s="17">
        <f>D16*0.78</f>
        <v>6.24</v>
      </c>
      <c r="E13" s="17"/>
      <c r="F13" s="12"/>
    </row>
    <row r="14" spans="1:6">
      <c r="A14" s="28">
        <v>8</v>
      </c>
      <c r="B14" s="18" t="s">
        <v>120</v>
      </c>
      <c r="C14" s="3" t="s">
        <v>119</v>
      </c>
      <c r="D14" s="3">
        <f>101*2+4*4</f>
        <v>218</v>
      </c>
      <c r="E14" s="3"/>
      <c r="F14" s="12"/>
    </row>
    <row r="15" spans="1:6">
      <c r="A15" s="28">
        <v>9</v>
      </c>
      <c r="B15" s="21" t="s">
        <v>121</v>
      </c>
      <c r="C15" s="3" t="s">
        <v>51</v>
      </c>
      <c r="D15" s="3">
        <v>334</v>
      </c>
      <c r="E15" s="3"/>
      <c r="F15" s="12"/>
    </row>
    <row r="16" spans="1:6" ht="30">
      <c r="A16" s="28">
        <v>10</v>
      </c>
      <c r="B16" s="18" t="s">
        <v>122</v>
      </c>
      <c r="C16" s="3" t="s">
        <v>115</v>
      </c>
      <c r="D16" s="3">
        <v>8</v>
      </c>
      <c r="E16" s="3"/>
      <c r="F16" s="12"/>
    </row>
    <row r="17" spans="1:6">
      <c r="A17" s="28">
        <v>11</v>
      </c>
      <c r="B17" s="18" t="s">
        <v>124</v>
      </c>
      <c r="C17" s="3" t="s">
        <v>118</v>
      </c>
      <c r="D17" s="3">
        <f>D11+(D9*2.5)</f>
        <v>1.7669999999999999</v>
      </c>
      <c r="E17" s="3"/>
      <c r="F17" s="12"/>
    </row>
    <row r="18" spans="1:6">
      <c r="A18" s="28">
        <v>12</v>
      </c>
      <c r="B18" s="21" t="s">
        <v>125</v>
      </c>
      <c r="C18" s="3" t="s">
        <v>118</v>
      </c>
      <c r="D18" s="3">
        <f>D17</f>
        <v>1.7669999999999999</v>
      </c>
      <c r="E18" s="3"/>
      <c r="F18" s="12"/>
    </row>
    <row r="19" spans="1:6">
      <c r="A19" s="28">
        <v>13</v>
      </c>
      <c r="B19" s="18" t="s">
        <v>127</v>
      </c>
      <c r="C19" s="3" t="s">
        <v>128</v>
      </c>
      <c r="D19" s="3">
        <v>50</v>
      </c>
      <c r="E19" s="3"/>
      <c r="F19" s="12"/>
    </row>
    <row r="20" spans="1:6">
      <c r="A20" s="28">
        <v>14</v>
      </c>
      <c r="B20" s="18" t="s">
        <v>386</v>
      </c>
      <c r="C20" s="28" t="s">
        <v>118</v>
      </c>
      <c r="D20" s="28">
        <f>D11</f>
        <v>0.56699999999999995</v>
      </c>
      <c r="E20" s="28"/>
      <c r="F20" s="12"/>
    </row>
    <row r="21" spans="1:6">
      <c r="A21" s="28">
        <v>15</v>
      </c>
      <c r="B21" s="18" t="s">
        <v>150</v>
      </c>
      <c r="C21" s="6" t="s">
        <v>51</v>
      </c>
      <c r="D21" s="3">
        <v>2</v>
      </c>
      <c r="E21" s="3"/>
      <c r="F21" s="12"/>
    </row>
    <row r="22" spans="1:6">
      <c r="A22" s="28">
        <v>16</v>
      </c>
      <c r="B22" s="18" t="s">
        <v>129</v>
      </c>
      <c r="C22" s="3" t="s">
        <v>115</v>
      </c>
      <c r="D22" s="3">
        <f>D16</f>
        <v>8</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B4"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177</v>
      </c>
      <c r="B3" s="64"/>
      <c r="C3" s="64"/>
      <c r="D3" s="64"/>
      <c r="E3" s="64"/>
      <c r="F3" s="64"/>
    </row>
    <row r="4" spans="1:6">
      <c r="A4" s="63" t="s">
        <v>48</v>
      </c>
      <c r="B4" s="64"/>
      <c r="C4" s="64"/>
      <c r="D4" s="64"/>
      <c r="E4" s="64"/>
      <c r="F4" s="64"/>
    </row>
    <row r="5" spans="1:6">
      <c r="A5" s="65" t="s">
        <v>178</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8</v>
      </c>
      <c r="E7" s="3"/>
      <c r="F7" s="12"/>
    </row>
    <row r="8" spans="1:6">
      <c r="A8" s="3">
        <v>2</v>
      </c>
      <c r="B8" s="18" t="s">
        <v>113</v>
      </c>
      <c r="C8" s="3" t="s">
        <v>47</v>
      </c>
      <c r="D8" s="3">
        <v>16</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1.131</v>
      </c>
      <c r="E11" s="3"/>
      <c r="F11" s="12"/>
    </row>
    <row r="12" spans="1:6">
      <c r="A12" s="28">
        <v>6</v>
      </c>
      <c r="B12" s="18" t="s">
        <v>123</v>
      </c>
      <c r="C12" s="3" t="s">
        <v>52</v>
      </c>
      <c r="D12" s="3">
        <v>60</v>
      </c>
      <c r="E12" s="3"/>
      <c r="F12" s="12"/>
    </row>
    <row r="13" spans="1:6">
      <c r="A13" s="28">
        <v>7</v>
      </c>
      <c r="B13" s="18" t="s">
        <v>130</v>
      </c>
      <c r="C13" s="3" t="s">
        <v>46</v>
      </c>
      <c r="D13" s="3">
        <f>D16*0.78</f>
        <v>12.48</v>
      </c>
      <c r="E13" s="3"/>
      <c r="F13" s="12"/>
    </row>
    <row r="14" spans="1:6">
      <c r="A14" s="28">
        <v>8</v>
      </c>
      <c r="B14" s="18" t="s">
        <v>120</v>
      </c>
      <c r="C14" s="3" t="s">
        <v>119</v>
      </c>
      <c r="D14" s="3">
        <f>197*2+4*4</f>
        <v>410</v>
      </c>
      <c r="E14" s="3"/>
      <c r="F14" s="12"/>
    </row>
    <row r="15" spans="1:6">
      <c r="A15" s="28">
        <v>9</v>
      </c>
      <c r="B15" s="21" t="s">
        <v>121</v>
      </c>
      <c r="C15" s="3" t="s">
        <v>51</v>
      </c>
      <c r="D15" s="3">
        <v>654</v>
      </c>
      <c r="E15" s="3"/>
      <c r="F15" s="12"/>
    </row>
    <row r="16" spans="1:6" ht="30">
      <c r="A16" s="28">
        <v>10</v>
      </c>
      <c r="B16" s="18" t="s">
        <v>122</v>
      </c>
      <c r="C16" s="3" t="s">
        <v>115</v>
      </c>
      <c r="D16" s="3">
        <v>16</v>
      </c>
      <c r="E16" s="3"/>
      <c r="F16" s="12"/>
    </row>
    <row r="17" spans="1:6">
      <c r="A17" s="28">
        <v>11</v>
      </c>
      <c r="B17" s="18" t="s">
        <v>124</v>
      </c>
      <c r="C17" s="3" t="s">
        <v>118</v>
      </c>
      <c r="D17" s="3">
        <f>D11+(D9*2.5)</f>
        <v>2.331</v>
      </c>
      <c r="E17" s="3"/>
      <c r="F17" s="12"/>
    </row>
    <row r="18" spans="1:6">
      <c r="A18" s="28">
        <v>12</v>
      </c>
      <c r="B18" s="21" t="s">
        <v>125</v>
      </c>
      <c r="C18" s="3" t="s">
        <v>118</v>
      </c>
      <c r="D18" s="3">
        <f>D17</f>
        <v>2.331</v>
      </c>
      <c r="E18" s="3"/>
      <c r="F18" s="12"/>
    </row>
    <row r="19" spans="1:6">
      <c r="A19" s="28">
        <v>13</v>
      </c>
      <c r="B19" s="18" t="s">
        <v>127</v>
      </c>
      <c r="C19" s="3" t="s">
        <v>128</v>
      </c>
      <c r="D19" s="3">
        <v>50</v>
      </c>
      <c r="E19" s="3"/>
      <c r="F19" s="12"/>
    </row>
    <row r="20" spans="1:6">
      <c r="A20" s="28">
        <v>14</v>
      </c>
      <c r="B20" s="18" t="s">
        <v>386</v>
      </c>
      <c r="C20" s="28" t="s">
        <v>118</v>
      </c>
      <c r="D20" s="28">
        <f>D11</f>
        <v>1.131</v>
      </c>
      <c r="E20" s="28"/>
      <c r="F20" s="12"/>
    </row>
    <row r="21" spans="1:6">
      <c r="A21" s="28">
        <v>15</v>
      </c>
      <c r="B21" s="18" t="s">
        <v>150</v>
      </c>
      <c r="C21" s="6" t="s">
        <v>51</v>
      </c>
      <c r="D21" s="3">
        <v>2</v>
      </c>
      <c r="E21" s="3"/>
      <c r="F21" s="12"/>
    </row>
    <row r="22" spans="1:6">
      <c r="A22" s="28">
        <v>16</v>
      </c>
      <c r="B22" s="18" t="s">
        <v>129</v>
      </c>
      <c r="C22" s="3" t="s">
        <v>115</v>
      </c>
      <c r="D22" s="3">
        <f>D16</f>
        <v>16</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D49"/>
  <sheetViews>
    <sheetView workbookViewId="0">
      <selection activeCell="J11" sqref="J11"/>
    </sheetView>
  </sheetViews>
  <sheetFormatPr defaultRowHeight="15"/>
  <cols>
    <col min="1" max="1" width="10.140625" customWidth="1"/>
    <col min="2" max="2" width="10.7109375" customWidth="1"/>
    <col min="3" max="3" width="45.7109375" customWidth="1"/>
    <col min="4" max="4" width="21" customWidth="1"/>
  </cols>
  <sheetData>
    <row r="1" spans="1:4">
      <c r="A1" s="57" t="s">
        <v>49</v>
      </c>
      <c r="B1" s="57"/>
      <c r="C1" s="57"/>
      <c r="D1" s="57"/>
    </row>
    <row r="2" spans="1:4">
      <c r="A2" s="57"/>
      <c r="B2" s="57"/>
      <c r="C2" s="57"/>
      <c r="D2" s="57"/>
    </row>
    <row r="3" spans="1:4">
      <c r="A3" s="50" t="s">
        <v>61</v>
      </c>
      <c r="B3" s="50"/>
      <c r="C3" s="50"/>
      <c r="D3" s="50"/>
    </row>
    <row r="4" spans="1:4">
      <c r="A4" s="58" t="s">
        <v>59</v>
      </c>
      <c r="B4" s="59"/>
      <c r="C4" s="59"/>
      <c r="D4" s="60"/>
    </row>
    <row r="5" spans="1:4" ht="45">
      <c r="A5" s="7" t="s">
        <v>27</v>
      </c>
      <c r="B5" s="8" t="s">
        <v>1</v>
      </c>
      <c r="C5" s="3" t="s">
        <v>28</v>
      </c>
      <c r="D5" s="7" t="s">
        <v>29</v>
      </c>
    </row>
    <row r="6" spans="1:4">
      <c r="A6" s="3">
        <v>1</v>
      </c>
      <c r="B6" s="9" t="s">
        <v>76</v>
      </c>
      <c r="C6" s="3" t="s">
        <v>43</v>
      </c>
      <c r="D6" s="12">
        <f>'2-1'!F12</f>
        <v>0</v>
      </c>
    </row>
    <row r="7" spans="1:4">
      <c r="A7" s="3">
        <v>2</v>
      </c>
      <c r="B7" s="9" t="s">
        <v>77</v>
      </c>
      <c r="C7" s="3" t="s">
        <v>50</v>
      </c>
      <c r="D7" s="12">
        <f>'2-2'!F22</f>
        <v>0</v>
      </c>
    </row>
    <row r="8" spans="1:4">
      <c r="A8" s="3">
        <v>3</v>
      </c>
      <c r="B8" s="9" t="s">
        <v>78</v>
      </c>
      <c r="C8" s="3" t="s">
        <v>180</v>
      </c>
      <c r="D8" s="12">
        <f>'2-3'!F23</f>
        <v>0</v>
      </c>
    </row>
    <row r="9" spans="1:4">
      <c r="A9" s="3">
        <v>4</v>
      </c>
      <c r="B9" s="9" t="s">
        <v>79</v>
      </c>
      <c r="C9" s="3" t="s">
        <v>212</v>
      </c>
      <c r="D9" s="12">
        <f>'2-4'!F23</f>
        <v>0</v>
      </c>
    </row>
    <row r="10" spans="1:4">
      <c r="A10" s="3">
        <v>5</v>
      </c>
      <c r="B10" s="9" t="s">
        <v>80</v>
      </c>
      <c r="C10" s="3" t="s">
        <v>214</v>
      </c>
      <c r="D10" s="12">
        <f>'2-5'!F23</f>
        <v>0</v>
      </c>
    </row>
    <row r="11" spans="1:4">
      <c r="A11" s="3">
        <v>6</v>
      </c>
      <c r="B11" s="9" t="s">
        <v>81</v>
      </c>
      <c r="C11" s="3" t="s">
        <v>216</v>
      </c>
      <c r="D11" s="12">
        <f>'2-6'!F23</f>
        <v>0</v>
      </c>
    </row>
    <row r="12" spans="1:4">
      <c r="A12" s="3">
        <v>7</v>
      </c>
      <c r="B12" s="9" t="s">
        <v>82</v>
      </c>
      <c r="C12" s="3" t="s">
        <v>218</v>
      </c>
      <c r="D12" s="12">
        <f>'2-7'!F23</f>
        <v>0</v>
      </c>
    </row>
    <row r="13" spans="1:4">
      <c r="A13" s="3">
        <v>8</v>
      </c>
      <c r="B13" s="9" t="s">
        <v>83</v>
      </c>
      <c r="C13" s="3" t="s">
        <v>220</v>
      </c>
      <c r="D13" s="12">
        <f>'2-8'!F23</f>
        <v>0</v>
      </c>
    </row>
    <row r="14" spans="1:4">
      <c r="A14" s="3">
        <v>9</v>
      </c>
      <c r="B14" s="9" t="s">
        <v>84</v>
      </c>
      <c r="C14" s="3" t="s">
        <v>220</v>
      </c>
      <c r="D14" s="12">
        <f>'2-9'!F23</f>
        <v>0</v>
      </c>
    </row>
    <row r="15" spans="1:4">
      <c r="A15" s="3">
        <v>10</v>
      </c>
      <c r="B15" s="9" t="s">
        <v>85</v>
      </c>
      <c r="C15" s="3" t="s">
        <v>223</v>
      </c>
      <c r="D15" s="12">
        <f>'2-10'!F23</f>
        <v>0</v>
      </c>
    </row>
    <row r="16" spans="1:4">
      <c r="A16" s="3">
        <v>11</v>
      </c>
      <c r="B16" s="9" t="s">
        <v>86</v>
      </c>
      <c r="C16" s="3" t="s">
        <v>225</v>
      </c>
      <c r="D16" s="12">
        <f>'2-11'!F23</f>
        <v>0</v>
      </c>
    </row>
    <row r="17" spans="1:4">
      <c r="A17" s="3">
        <v>12</v>
      </c>
      <c r="B17" s="9" t="s">
        <v>87</v>
      </c>
      <c r="C17" s="3" t="s">
        <v>227</v>
      </c>
      <c r="D17" s="12">
        <f>'2-12'!F23</f>
        <v>0</v>
      </c>
    </row>
    <row r="18" spans="1:4">
      <c r="A18" s="3">
        <v>13</v>
      </c>
      <c r="B18" s="9" t="s">
        <v>88</v>
      </c>
      <c r="C18" s="3" t="s">
        <v>229</v>
      </c>
      <c r="D18" s="12">
        <f>'2-13'!F23</f>
        <v>0</v>
      </c>
    </row>
    <row r="19" spans="1:4">
      <c r="A19" s="3">
        <v>14</v>
      </c>
      <c r="B19" s="9" t="s">
        <v>181</v>
      </c>
      <c r="C19" s="3" t="s">
        <v>231</v>
      </c>
      <c r="D19" s="12">
        <f>'2-14'!F23</f>
        <v>0</v>
      </c>
    </row>
    <row r="20" spans="1:4">
      <c r="A20" s="3">
        <v>15</v>
      </c>
      <c r="B20" s="9" t="s">
        <v>182</v>
      </c>
      <c r="C20" s="3" t="s">
        <v>233</v>
      </c>
      <c r="D20" s="12">
        <f>'2-15'!F23</f>
        <v>0</v>
      </c>
    </row>
    <row r="21" spans="1:4">
      <c r="A21" s="3">
        <v>16</v>
      </c>
      <c r="B21" s="9" t="s">
        <v>183</v>
      </c>
      <c r="C21" s="3" t="s">
        <v>235</v>
      </c>
      <c r="D21" s="12">
        <f>'2-16'!F23</f>
        <v>0</v>
      </c>
    </row>
    <row r="22" spans="1:4">
      <c r="A22" s="3">
        <v>17</v>
      </c>
      <c r="B22" s="9" t="s">
        <v>184</v>
      </c>
      <c r="C22" s="3" t="s">
        <v>237</v>
      </c>
      <c r="D22" s="12">
        <f>'2-17'!F23</f>
        <v>0</v>
      </c>
    </row>
    <row r="23" spans="1:4">
      <c r="A23" s="3">
        <v>18</v>
      </c>
      <c r="B23" s="9" t="s">
        <v>185</v>
      </c>
      <c r="C23" s="3" t="s">
        <v>239</v>
      </c>
      <c r="D23" s="12">
        <f>'2-18'!F23</f>
        <v>0</v>
      </c>
    </row>
    <row r="24" spans="1:4">
      <c r="A24" s="3">
        <v>19</v>
      </c>
      <c r="B24" s="9" t="s">
        <v>186</v>
      </c>
      <c r="C24" s="3" t="s">
        <v>241</v>
      </c>
      <c r="D24" s="12">
        <f>'2-19'!F23</f>
        <v>0</v>
      </c>
    </row>
    <row r="25" spans="1:4">
      <c r="A25" s="3">
        <v>20</v>
      </c>
      <c r="B25" s="9" t="s">
        <v>187</v>
      </c>
      <c r="C25" s="3" t="s">
        <v>243</v>
      </c>
      <c r="D25" s="12">
        <f>'2-20'!F23</f>
        <v>0</v>
      </c>
    </row>
    <row r="26" spans="1:4">
      <c r="A26" s="3">
        <v>21</v>
      </c>
      <c r="B26" s="9" t="s">
        <v>188</v>
      </c>
      <c r="C26" s="3" t="s">
        <v>245</v>
      </c>
      <c r="D26" s="12">
        <f>'2-21'!F23</f>
        <v>0</v>
      </c>
    </row>
    <row r="27" spans="1:4">
      <c r="A27" s="3">
        <v>22</v>
      </c>
      <c r="B27" s="9" t="s">
        <v>189</v>
      </c>
      <c r="C27" s="3" t="s">
        <v>250</v>
      </c>
      <c r="D27" s="12">
        <f>'2-22'!F23</f>
        <v>0</v>
      </c>
    </row>
    <row r="28" spans="1:4">
      <c r="A28" s="3">
        <v>23</v>
      </c>
      <c r="B28" s="9" t="s">
        <v>190</v>
      </c>
      <c r="C28" s="3" t="s">
        <v>251</v>
      </c>
      <c r="D28" s="12">
        <f>'2-23'!F23</f>
        <v>0</v>
      </c>
    </row>
    <row r="29" spans="1:4">
      <c r="A29" s="3">
        <v>24</v>
      </c>
      <c r="B29" s="9" t="s">
        <v>191</v>
      </c>
      <c r="C29" s="3" t="s">
        <v>252</v>
      </c>
      <c r="D29" s="12">
        <f>'2-24'!F23</f>
        <v>0</v>
      </c>
    </row>
    <row r="30" spans="1:4">
      <c r="A30" s="3">
        <v>25</v>
      </c>
      <c r="B30" s="9" t="s">
        <v>192</v>
      </c>
      <c r="C30" s="3" t="s">
        <v>254</v>
      </c>
      <c r="D30" s="12">
        <f>'2-25'!F23</f>
        <v>0</v>
      </c>
    </row>
    <row r="31" spans="1:4">
      <c r="A31" s="3">
        <v>26</v>
      </c>
      <c r="B31" s="9" t="s">
        <v>193</v>
      </c>
      <c r="C31" s="3" t="s">
        <v>256</v>
      </c>
      <c r="D31" s="12">
        <f>'2-26'!F23</f>
        <v>0</v>
      </c>
    </row>
    <row r="32" spans="1:4">
      <c r="A32" s="3">
        <v>27</v>
      </c>
      <c r="B32" s="9" t="s">
        <v>194</v>
      </c>
      <c r="C32" s="3" t="s">
        <v>258</v>
      </c>
      <c r="D32" s="12">
        <f>'2-27'!F23</f>
        <v>0</v>
      </c>
    </row>
    <row r="33" spans="1:4">
      <c r="A33" s="3">
        <v>28</v>
      </c>
      <c r="B33" s="9" t="s">
        <v>195</v>
      </c>
      <c r="C33" s="3" t="s">
        <v>262</v>
      </c>
      <c r="D33" s="12">
        <f>'2-28'!F23</f>
        <v>0</v>
      </c>
    </row>
    <row r="34" spans="1:4">
      <c r="A34" s="3">
        <v>29</v>
      </c>
      <c r="B34" s="9" t="s">
        <v>196</v>
      </c>
      <c r="C34" s="3" t="s">
        <v>260</v>
      </c>
      <c r="D34" s="12">
        <f>'2-29'!F23</f>
        <v>0</v>
      </c>
    </row>
    <row r="35" spans="1:4">
      <c r="A35" s="3">
        <v>30</v>
      </c>
      <c r="B35" s="9" t="s">
        <v>197</v>
      </c>
      <c r="C35" s="3" t="s">
        <v>264</v>
      </c>
      <c r="D35" s="12">
        <f>'2-30'!F23</f>
        <v>0</v>
      </c>
    </row>
    <row r="36" spans="1:4">
      <c r="A36" s="3">
        <v>31</v>
      </c>
      <c r="B36" s="9" t="s">
        <v>198</v>
      </c>
      <c r="C36" s="3" t="s">
        <v>266</v>
      </c>
      <c r="D36" s="12">
        <f>'2-31'!F23</f>
        <v>0</v>
      </c>
    </row>
    <row r="37" spans="1:4">
      <c r="A37" s="3">
        <v>32</v>
      </c>
      <c r="B37" s="9" t="s">
        <v>199</v>
      </c>
      <c r="C37" s="3" t="s">
        <v>267</v>
      </c>
      <c r="D37" s="12">
        <f>'2-32'!F22</f>
        <v>0</v>
      </c>
    </row>
    <row r="38" spans="1:4">
      <c r="A38" s="3">
        <v>33</v>
      </c>
      <c r="B38" s="9" t="s">
        <v>200</v>
      </c>
      <c r="C38" s="3"/>
      <c r="D38" s="3"/>
    </row>
    <row r="39" spans="1:4">
      <c r="A39" s="3">
        <v>34</v>
      </c>
      <c r="B39" s="9" t="s">
        <v>201</v>
      </c>
      <c r="C39" s="3"/>
      <c r="D39" s="3"/>
    </row>
    <row r="40" spans="1:4">
      <c r="A40" s="3">
        <v>35</v>
      </c>
      <c r="B40" s="9" t="s">
        <v>202</v>
      </c>
      <c r="C40" s="3"/>
      <c r="D40" s="3"/>
    </row>
    <row r="41" spans="1:4">
      <c r="A41" s="3">
        <v>36</v>
      </c>
      <c r="B41" s="9" t="s">
        <v>203</v>
      </c>
      <c r="C41" s="3"/>
      <c r="D41" s="3"/>
    </row>
    <row r="42" spans="1:4">
      <c r="A42" s="3">
        <v>37</v>
      </c>
      <c r="B42" s="9" t="s">
        <v>204</v>
      </c>
      <c r="C42" s="3"/>
      <c r="D42" s="3"/>
    </row>
    <row r="43" spans="1:4">
      <c r="A43" s="3">
        <v>38</v>
      </c>
      <c r="B43" s="9" t="s">
        <v>205</v>
      </c>
      <c r="C43" s="3"/>
      <c r="D43" s="3"/>
    </row>
    <row r="44" spans="1:4">
      <c r="A44" s="3">
        <v>39</v>
      </c>
      <c r="B44" s="9" t="s">
        <v>206</v>
      </c>
      <c r="C44" s="3"/>
      <c r="D44" s="3"/>
    </row>
    <row r="45" spans="1:4">
      <c r="A45" s="3">
        <v>40</v>
      </c>
      <c r="B45" s="9" t="s">
        <v>207</v>
      </c>
      <c r="C45" s="3"/>
      <c r="D45" s="3"/>
    </row>
    <row r="46" spans="1:4">
      <c r="A46" s="3">
        <v>41</v>
      </c>
      <c r="B46" s="9" t="s">
        <v>208</v>
      </c>
      <c r="C46" s="3"/>
      <c r="D46" s="3"/>
    </row>
    <row r="47" spans="1:4">
      <c r="A47" s="3">
        <v>42</v>
      </c>
      <c r="B47" s="9" t="s">
        <v>209</v>
      </c>
      <c r="C47" s="3"/>
      <c r="D47" s="3"/>
    </row>
    <row r="48" spans="1:4">
      <c r="A48" s="3">
        <v>43</v>
      </c>
      <c r="B48" s="9" t="s">
        <v>210</v>
      </c>
      <c r="C48" s="3"/>
      <c r="D48" s="3"/>
    </row>
    <row r="49" spans="1:4">
      <c r="A49" s="3"/>
      <c r="B49" s="9"/>
      <c r="C49" s="5" t="s">
        <v>18</v>
      </c>
      <c r="D49" s="16">
        <f>SUM(D6:D48)</f>
        <v>0</v>
      </c>
    </row>
  </sheetData>
  <mergeCells count="3">
    <mergeCell ref="A1:D2"/>
    <mergeCell ref="A3:D3"/>
    <mergeCell ref="A4:D4"/>
  </mergeCells>
  <phoneticPr fontId="8"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12"/>
  <sheetViews>
    <sheetView topLeftCell="C1"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89</v>
      </c>
      <c r="B3" s="64"/>
      <c r="C3" s="64"/>
      <c r="D3" s="64"/>
      <c r="E3" s="64"/>
      <c r="F3" s="64"/>
    </row>
    <row r="4" spans="1:6">
      <c r="A4" s="63" t="s">
        <v>59</v>
      </c>
      <c r="B4" s="64"/>
      <c r="C4" s="64"/>
      <c r="D4" s="64"/>
      <c r="E4" s="64"/>
      <c r="F4" s="64"/>
    </row>
    <row r="5" spans="1:6">
      <c r="A5" s="65" t="s">
        <v>43</v>
      </c>
      <c r="B5" s="66"/>
      <c r="C5" s="66"/>
      <c r="D5" s="66"/>
      <c r="E5" s="66"/>
      <c r="F5" s="66"/>
    </row>
    <row r="6" spans="1:6">
      <c r="A6" s="13" t="s">
        <v>1</v>
      </c>
      <c r="B6" s="14" t="s">
        <v>37</v>
      </c>
      <c r="C6" s="14" t="s">
        <v>38</v>
      </c>
      <c r="D6" s="15" t="s">
        <v>39</v>
      </c>
      <c r="E6" s="14" t="s">
        <v>40</v>
      </c>
      <c r="F6" s="14" t="s">
        <v>41</v>
      </c>
    </row>
    <row r="7" spans="1:6">
      <c r="A7" s="3">
        <v>1</v>
      </c>
      <c r="B7" s="9" t="s">
        <v>44</v>
      </c>
      <c r="C7" s="3" t="s">
        <v>45</v>
      </c>
      <c r="D7" s="3">
        <v>82.4</v>
      </c>
      <c r="E7" s="3"/>
      <c r="F7" s="12"/>
    </row>
    <row r="8" spans="1:6" ht="30">
      <c r="A8" s="3">
        <v>2</v>
      </c>
      <c r="B8" s="11" t="s">
        <v>92</v>
      </c>
      <c r="C8" s="3" t="s">
        <v>46</v>
      </c>
      <c r="D8" s="3">
        <f>44200*0.36</f>
        <v>15912</v>
      </c>
      <c r="E8" s="3"/>
      <c r="F8" s="12"/>
    </row>
    <row r="9" spans="1:6" ht="30">
      <c r="A9" s="27">
        <v>3</v>
      </c>
      <c r="B9" s="7" t="s">
        <v>91</v>
      </c>
      <c r="C9" s="3" t="s">
        <v>47</v>
      </c>
      <c r="D9" s="3">
        <f>44200*0.33*0.8</f>
        <v>11668.800000000001</v>
      </c>
      <c r="E9" s="3"/>
      <c r="F9" s="12"/>
    </row>
    <row r="10" spans="1:6">
      <c r="A10" s="27">
        <v>4</v>
      </c>
      <c r="B10" s="7" t="s">
        <v>382</v>
      </c>
      <c r="C10" s="27" t="s">
        <v>47</v>
      </c>
      <c r="D10" s="27">
        <v>185</v>
      </c>
      <c r="E10" s="27"/>
      <c r="F10" s="12"/>
    </row>
    <row r="11" spans="1:6">
      <c r="A11" s="27">
        <v>5</v>
      </c>
      <c r="B11" s="3" t="s">
        <v>90</v>
      </c>
      <c r="C11" s="3" t="s">
        <v>46</v>
      </c>
      <c r="D11" s="3">
        <f>44200*0.8</f>
        <v>35360</v>
      </c>
      <c r="E11" s="3"/>
      <c r="F11" s="12"/>
    </row>
    <row r="12" spans="1:6">
      <c r="A12" s="3"/>
      <c r="B12" s="4" t="s">
        <v>18</v>
      </c>
      <c r="C12" s="3"/>
      <c r="D12" s="3"/>
      <c r="E12" s="3"/>
      <c r="F12" s="16">
        <f>SUM(F7:F11)</f>
        <v>0</v>
      </c>
    </row>
  </sheetData>
  <mergeCells count="4">
    <mergeCell ref="A1:F2"/>
    <mergeCell ref="A3:F3"/>
    <mergeCell ref="A4:F4"/>
    <mergeCell ref="A5:F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2"/>
  <sheetViews>
    <sheetView topLeftCell="C6"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42</v>
      </c>
      <c r="B3" s="64"/>
      <c r="C3" s="64"/>
      <c r="D3" s="64"/>
      <c r="E3" s="64"/>
      <c r="F3" s="64"/>
    </row>
    <row r="4" spans="1:6">
      <c r="A4" s="63" t="s">
        <v>59</v>
      </c>
      <c r="B4" s="64"/>
      <c r="C4" s="64"/>
      <c r="D4" s="64"/>
      <c r="E4" s="64"/>
      <c r="F4" s="64"/>
    </row>
    <row r="5" spans="1:6">
      <c r="A5" s="65" t="s">
        <v>50</v>
      </c>
      <c r="B5" s="66"/>
      <c r="C5" s="66"/>
      <c r="D5" s="66"/>
      <c r="E5" s="66"/>
      <c r="F5" s="66"/>
    </row>
    <row r="6" spans="1:6">
      <c r="A6" s="13" t="s">
        <v>1</v>
      </c>
      <c r="B6" s="14" t="s">
        <v>37</v>
      </c>
      <c r="C6" s="14" t="s">
        <v>38</v>
      </c>
      <c r="D6" s="15" t="s">
        <v>39</v>
      </c>
      <c r="E6" s="14" t="s">
        <v>40</v>
      </c>
      <c r="F6" s="14" t="s">
        <v>41</v>
      </c>
    </row>
    <row r="7" spans="1:6">
      <c r="A7" s="3">
        <v>1</v>
      </c>
      <c r="B7" s="18" t="s">
        <v>56</v>
      </c>
      <c r="C7" s="19" t="s">
        <v>47</v>
      </c>
      <c r="D7" s="3">
        <f>(D8+D9)*0.5*0.5*0.5</f>
        <v>7.75</v>
      </c>
      <c r="E7" s="3"/>
      <c r="F7" s="12"/>
    </row>
    <row r="8" spans="1:6" ht="30">
      <c r="A8" s="3">
        <v>2</v>
      </c>
      <c r="B8" s="18" t="s">
        <v>57</v>
      </c>
      <c r="C8" s="3" t="s">
        <v>51</v>
      </c>
      <c r="D8" s="3">
        <v>59</v>
      </c>
      <c r="E8" s="3"/>
      <c r="F8" s="12"/>
    </row>
    <row r="9" spans="1:6" ht="30">
      <c r="A9" s="3">
        <v>3</v>
      </c>
      <c r="B9" s="18" t="s">
        <v>99</v>
      </c>
      <c r="C9" s="3" t="s">
        <v>51</v>
      </c>
      <c r="D9" s="3">
        <v>3</v>
      </c>
      <c r="E9" s="3"/>
      <c r="F9" s="12"/>
    </row>
    <row r="10" spans="1:6">
      <c r="A10" s="3">
        <v>4</v>
      </c>
      <c r="B10" s="18" t="s">
        <v>58</v>
      </c>
      <c r="C10" s="3" t="s">
        <v>47</v>
      </c>
      <c r="D10" s="3">
        <f>D7</f>
        <v>7.75</v>
      </c>
      <c r="E10" s="3"/>
      <c r="F10" s="12"/>
    </row>
    <row r="11" spans="1:6">
      <c r="A11" s="3">
        <v>5</v>
      </c>
      <c r="B11" s="18" t="s">
        <v>101</v>
      </c>
      <c r="C11" s="3" t="s">
        <v>51</v>
      </c>
      <c r="D11" s="3">
        <v>13</v>
      </c>
      <c r="E11" s="3"/>
      <c r="F11" s="12"/>
    </row>
    <row r="12" spans="1:6">
      <c r="A12" s="3">
        <v>6</v>
      </c>
      <c r="B12" s="18" t="s">
        <v>102</v>
      </c>
      <c r="C12" s="3" t="s">
        <v>51</v>
      </c>
      <c r="D12" s="3">
        <v>40</v>
      </c>
      <c r="E12" s="3"/>
      <c r="F12" s="12"/>
    </row>
    <row r="13" spans="1:6">
      <c r="A13" s="3">
        <v>7</v>
      </c>
      <c r="B13" s="18" t="s">
        <v>53</v>
      </c>
      <c r="C13" s="3" t="s">
        <v>51</v>
      </c>
      <c r="D13" s="3">
        <v>88</v>
      </c>
      <c r="E13" s="3"/>
      <c r="F13" s="12"/>
    </row>
    <row r="14" spans="1:6">
      <c r="A14" s="3">
        <v>8</v>
      </c>
      <c r="B14" s="18" t="s">
        <v>103</v>
      </c>
      <c r="C14" s="3" t="s">
        <v>51</v>
      </c>
      <c r="D14" s="3">
        <f>D8</f>
        <v>59</v>
      </c>
      <c r="E14" s="3"/>
      <c r="F14" s="12"/>
    </row>
    <row r="15" spans="1:6">
      <c r="A15" s="3">
        <v>9</v>
      </c>
      <c r="B15" s="18" t="s">
        <v>104</v>
      </c>
      <c r="C15" s="3" t="s">
        <v>51</v>
      </c>
      <c r="D15" s="3">
        <v>15</v>
      </c>
      <c r="E15" s="3"/>
      <c r="F15" s="12"/>
    </row>
    <row r="16" spans="1:6">
      <c r="A16" s="3">
        <v>10</v>
      </c>
      <c r="B16" s="18" t="s">
        <v>105</v>
      </c>
      <c r="C16" s="3" t="s">
        <v>51</v>
      </c>
      <c r="D16" s="3">
        <v>2</v>
      </c>
      <c r="E16" s="3"/>
      <c r="F16" s="12"/>
    </row>
    <row r="17" spans="1:6">
      <c r="A17" s="3">
        <v>11</v>
      </c>
      <c r="B17" s="18" t="s">
        <v>100</v>
      </c>
      <c r="C17" s="3" t="s">
        <v>51</v>
      </c>
      <c r="D17" s="3">
        <v>2</v>
      </c>
      <c r="E17" s="3"/>
      <c r="F17" s="12"/>
    </row>
    <row r="18" spans="1:6">
      <c r="A18" s="3">
        <v>12</v>
      </c>
      <c r="B18" s="18" t="s">
        <v>54</v>
      </c>
      <c r="C18" s="3" t="s">
        <v>51</v>
      </c>
      <c r="D18" s="3">
        <f>(D11+D12+D15+D16+D17+D14+D13)*2</f>
        <v>438</v>
      </c>
      <c r="E18" s="3"/>
      <c r="F18" s="12"/>
    </row>
    <row r="19" spans="1:6">
      <c r="A19" s="3">
        <v>13</v>
      </c>
      <c r="B19" s="18" t="s">
        <v>55</v>
      </c>
      <c r="C19" s="3" t="s">
        <v>51</v>
      </c>
      <c r="D19" s="3">
        <f>D18*2</f>
        <v>876</v>
      </c>
      <c r="E19" s="3"/>
      <c r="F19" s="12"/>
    </row>
    <row r="20" spans="1:6" ht="30">
      <c r="A20" s="3">
        <v>14</v>
      </c>
      <c r="B20" s="18" t="s">
        <v>109</v>
      </c>
      <c r="C20" s="3" t="s">
        <v>51</v>
      </c>
      <c r="D20" s="3">
        <v>8</v>
      </c>
      <c r="E20" s="3"/>
      <c r="F20" s="12"/>
    </row>
    <row r="21" spans="1:6" ht="45">
      <c r="A21" s="3">
        <v>15</v>
      </c>
      <c r="B21" s="22" t="s">
        <v>126</v>
      </c>
      <c r="C21" s="23" t="s">
        <v>51</v>
      </c>
      <c r="D21" s="23">
        <f>D8+D9</f>
        <v>62</v>
      </c>
      <c r="E21" s="23"/>
      <c r="F21" s="24"/>
    </row>
    <row r="22" spans="1:6">
      <c r="A22" s="25"/>
      <c r="B22" s="4" t="s">
        <v>18</v>
      </c>
      <c r="C22" s="25"/>
      <c r="D22" s="25"/>
      <c r="E22" s="25"/>
      <c r="F22" s="26">
        <f>SUM(F7:F21)</f>
        <v>0</v>
      </c>
    </row>
  </sheetData>
  <mergeCells count="4">
    <mergeCell ref="A1:F2"/>
    <mergeCell ref="A3:F3"/>
    <mergeCell ref="A4:F4"/>
    <mergeCell ref="A5:F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B3" zoomScaleNormal="100"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179</v>
      </c>
      <c r="B3" s="64"/>
      <c r="C3" s="64"/>
      <c r="D3" s="64"/>
      <c r="E3" s="64"/>
      <c r="F3" s="64"/>
    </row>
    <row r="4" spans="1:6">
      <c r="A4" s="63" t="s">
        <v>59</v>
      </c>
      <c r="B4" s="64"/>
      <c r="C4" s="64"/>
      <c r="D4" s="64"/>
      <c r="E4" s="64"/>
      <c r="F4" s="64"/>
    </row>
    <row r="5" spans="1:6">
      <c r="A5" s="65" t="s">
        <v>180</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4</v>
      </c>
      <c r="E7" s="3"/>
      <c r="F7" s="12"/>
    </row>
    <row r="8" spans="1:6">
      <c r="A8" s="3">
        <v>2</v>
      </c>
      <c r="B8" s="18" t="s">
        <v>113</v>
      </c>
      <c r="C8" s="3" t="s">
        <v>47</v>
      </c>
      <c r="D8" s="3">
        <v>8</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0.69599999999999995</v>
      </c>
      <c r="E11" s="3"/>
      <c r="F11" s="12"/>
    </row>
    <row r="12" spans="1:6">
      <c r="A12" s="28">
        <v>6</v>
      </c>
      <c r="B12" s="18" t="s">
        <v>123</v>
      </c>
      <c r="C12" s="3" t="s">
        <v>52</v>
      </c>
      <c r="D12" s="3">
        <v>44</v>
      </c>
      <c r="E12" s="3"/>
      <c r="F12" s="12"/>
    </row>
    <row r="13" spans="1:6">
      <c r="A13" s="28">
        <v>7</v>
      </c>
      <c r="B13" s="18" t="s">
        <v>130</v>
      </c>
      <c r="C13" s="3" t="s">
        <v>46</v>
      </c>
      <c r="D13" s="3">
        <f>D16*0.78</f>
        <v>7.8000000000000007</v>
      </c>
      <c r="E13" s="3"/>
      <c r="F13" s="12"/>
    </row>
    <row r="14" spans="1:6">
      <c r="A14" s="28">
        <v>8</v>
      </c>
      <c r="B14" s="18" t="s">
        <v>120</v>
      </c>
      <c r="C14" s="3" t="s">
        <v>119</v>
      </c>
      <c r="D14" s="3">
        <f>125*2+4*4</f>
        <v>266</v>
      </c>
      <c r="E14" s="3"/>
      <c r="F14" s="12"/>
    </row>
    <row r="15" spans="1:6">
      <c r="A15" s="28">
        <v>9</v>
      </c>
      <c r="B15" s="21" t="s">
        <v>121</v>
      </c>
      <c r="C15" s="3" t="s">
        <v>51</v>
      </c>
      <c r="D15" s="3">
        <v>414</v>
      </c>
      <c r="E15" s="3"/>
      <c r="F15" s="12"/>
    </row>
    <row r="16" spans="1:6" ht="30">
      <c r="A16" s="28">
        <v>10</v>
      </c>
      <c r="B16" s="18" t="s">
        <v>122</v>
      </c>
      <c r="C16" s="3" t="s">
        <v>115</v>
      </c>
      <c r="D16" s="3">
        <v>10</v>
      </c>
      <c r="E16" s="3"/>
      <c r="F16" s="12"/>
    </row>
    <row r="17" spans="1:6">
      <c r="A17" s="28">
        <v>11</v>
      </c>
      <c r="B17" s="18" t="s">
        <v>124</v>
      </c>
      <c r="C17" s="3" t="s">
        <v>118</v>
      </c>
      <c r="D17" s="3">
        <f>D11+(D9*2.5)</f>
        <v>1.8959999999999999</v>
      </c>
      <c r="E17" s="3"/>
      <c r="F17" s="12"/>
    </row>
    <row r="18" spans="1:6">
      <c r="A18" s="28">
        <v>12</v>
      </c>
      <c r="B18" s="21" t="s">
        <v>125</v>
      </c>
      <c r="C18" s="3" t="s">
        <v>118</v>
      </c>
      <c r="D18" s="3">
        <f>D17</f>
        <v>1.8959999999999999</v>
      </c>
      <c r="E18" s="3"/>
      <c r="F18" s="12"/>
    </row>
    <row r="19" spans="1:6">
      <c r="A19" s="28">
        <v>13</v>
      </c>
      <c r="B19" s="18" t="s">
        <v>127</v>
      </c>
      <c r="C19" s="3" t="s">
        <v>128</v>
      </c>
      <c r="D19" s="3">
        <v>50</v>
      </c>
      <c r="E19" s="3"/>
      <c r="F19" s="12"/>
    </row>
    <row r="20" spans="1:6">
      <c r="A20" s="28">
        <v>14</v>
      </c>
      <c r="B20" s="18" t="s">
        <v>386</v>
      </c>
      <c r="C20" s="28" t="s">
        <v>118</v>
      </c>
      <c r="D20" s="28">
        <f>D11</f>
        <v>0.69599999999999995</v>
      </c>
      <c r="E20" s="28"/>
      <c r="F20" s="12"/>
    </row>
    <row r="21" spans="1:6">
      <c r="A21" s="28">
        <v>15</v>
      </c>
      <c r="B21" s="18" t="s">
        <v>150</v>
      </c>
      <c r="C21" s="6" t="s">
        <v>51</v>
      </c>
      <c r="D21" s="3">
        <v>2</v>
      </c>
      <c r="E21" s="3"/>
      <c r="F21" s="12"/>
    </row>
    <row r="22" spans="1:6">
      <c r="A22" s="28">
        <v>16</v>
      </c>
      <c r="B22" s="18" t="s">
        <v>129</v>
      </c>
      <c r="C22" s="3" t="s">
        <v>115</v>
      </c>
      <c r="D22" s="3">
        <f>D16</f>
        <v>10</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D11"/>
  <sheetViews>
    <sheetView workbookViewId="0">
      <selection activeCell="E18" sqref="E18"/>
    </sheetView>
  </sheetViews>
  <sheetFormatPr defaultRowHeight="15"/>
  <cols>
    <col min="2" max="2" width="17.5703125" customWidth="1"/>
    <col min="3" max="3" width="34.85546875" customWidth="1"/>
    <col min="4" max="4" width="48.42578125" customWidth="1"/>
  </cols>
  <sheetData>
    <row r="1" spans="1:4">
      <c r="A1" s="54" t="s">
        <v>49</v>
      </c>
      <c r="B1" s="54"/>
      <c r="C1" s="54"/>
      <c r="D1" s="54"/>
    </row>
    <row r="2" spans="1:4">
      <c r="A2" s="55" t="s">
        <v>350</v>
      </c>
      <c r="B2" s="55"/>
      <c r="C2" s="55"/>
      <c r="D2" s="55"/>
    </row>
    <row r="4" spans="1:4" ht="15.75">
      <c r="A4" s="13" t="s">
        <v>1</v>
      </c>
      <c r="B4" s="38" t="s">
        <v>0</v>
      </c>
      <c r="C4" s="38" t="s">
        <v>352</v>
      </c>
      <c r="D4" s="38" t="s">
        <v>383</v>
      </c>
    </row>
    <row r="5" spans="1:4">
      <c r="A5" s="4">
        <v>1</v>
      </c>
      <c r="B5" s="4">
        <v>2</v>
      </c>
      <c r="C5" s="4">
        <v>3</v>
      </c>
      <c r="D5" s="4">
        <v>4</v>
      </c>
    </row>
    <row r="6" spans="1:4" ht="18">
      <c r="A6" s="37">
        <v>1</v>
      </c>
      <c r="B6" s="37" t="s">
        <v>346</v>
      </c>
      <c r="C6" s="25" t="s">
        <v>384</v>
      </c>
      <c r="D6" s="40">
        <f>'დღიური სამუშაოები'!G12</f>
        <v>0</v>
      </c>
    </row>
    <row r="7" spans="1:4" ht="18">
      <c r="A7" s="37">
        <v>2</v>
      </c>
      <c r="B7" s="37" t="s">
        <v>347</v>
      </c>
      <c r="C7" s="25" t="s">
        <v>361</v>
      </c>
      <c r="D7" s="40">
        <f>'დღიური სამუშაოები'!G21</f>
        <v>0</v>
      </c>
    </row>
    <row r="8" spans="1:4" ht="18">
      <c r="A8" s="37">
        <v>3</v>
      </c>
      <c r="B8" s="37" t="s">
        <v>348</v>
      </c>
      <c r="C8" s="25" t="s">
        <v>368</v>
      </c>
      <c r="D8" s="40">
        <f>'დღიური სამუშაოები'!G31</f>
        <v>0</v>
      </c>
    </row>
    <row r="9" spans="1:4">
      <c r="C9" t="s">
        <v>385</v>
      </c>
      <c r="D9" s="43">
        <f ca="1">SUM(D6:D9)</f>
        <v>0</v>
      </c>
    </row>
    <row r="11" spans="1:4" ht="25.5" customHeight="1">
      <c r="A11" s="56" t="s">
        <v>349</v>
      </c>
      <c r="B11" s="56"/>
      <c r="C11" s="56"/>
      <c r="D11" s="56"/>
    </row>
  </sheetData>
  <mergeCells count="3">
    <mergeCell ref="A1:D1"/>
    <mergeCell ref="A2:D2"/>
    <mergeCell ref="A11:D1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3"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211</v>
      </c>
      <c r="B3" s="64"/>
      <c r="C3" s="64"/>
      <c r="D3" s="64"/>
      <c r="E3" s="64"/>
      <c r="F3" s="64"/>
    </row>
    <row r="4" spans="1:6">
      <c r="A4" s="63" t="s">
        <v>59</v>
      </c>
      <c r="B4" s="64"/>
      <c r="C4" s="64"/>
      <c r="D4" s="64"/>
      <c r="E4" s="64"/>
      <c r="F4" s="64"/>
    </row>
    <row r="5" spans="1:6">
      <c r="A5" s="65" t="s">
        <v>212</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4</v>
      </c>
      <c r="E7" s="3"/>
      <c r="F7" s="12"/>
    </row>
    <row r="8" spans="1:6">
      <c r="A8" s="3">
        <v>2</v>
      </c>
      <c r="B8" s="18" t="s">
        <v>113</v>
      </c>
      <c r="C8" s="3" t="s">
        <v>47</v>
      </c>
      <c r="D8" s="3">
        <v>8</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0.996</v>
      </c>
      <c r="E11" s="3"/>
      <c r="F11" s="12"/>
    </row>
    <row r="12" spans="1:6">
      <c r="A12" s="28">
        <v>6</v>
      </c>
      <c r="B12" s="18" t="s">
        <v>123</v>
      </c>
      <c r="C12" s="3" t="s">
        <v>52</v>
      </c>
      <c r="D12" s="3">
        <v>60.6</v>
      </c>
      <c r="E12" s="3"/>
      <c r="F12" s="12"/>
    </row>
    <row r="13" spans="1:6">
      <c r="A13" s="28">
        <v>7</v>
      </c>
      <c r="B13" s="18" t="s">
        <v>130</v>
      </c>
      <c r="C13" s="3" t="s">
        <v>46</v>
      </c>
      <c r="D13" s="3">
        <f>D16*0.78</f>
        <v>10.92</v>
      </c>
      <c r="E13" s="3"/>
      <c r="F13" s="12"/>
    </row>
    <row r="14" spans="1:6">
      <c r="A14" s="28">
        <v>8</v>
      </c>
      <c r="B14" s="18" t="s">
        <v>120</v>
      </c>
      <c r="C14" s="3" t="s">
        <v>119</v>
      </c>
      <c r="D14" s="3">
        <f>173*2+4*4</f>
        <v>362</v>
      </c>
      <c r="E14" s="3"/>
      <c r="F14" s="12"/>
    </row>
    <row r="15" spans="1:6">
      <c r="A15" s="28">
        <v>9</v>
      </c>
      <c r="B15" s="21" t="s">
        <v>121</v>
      </c>
      <c r="C15" s="3" t="s">
        <v>51</v>
      </c>
      <c r="D15" s="3">
        <v>574</v>
      </c>
      <c r="E15" s="3"/>
      <c r="F15" s="12"/>
    </row>
    <row r="16" spans="1:6" ht="30">
      <c r="A16" s="28">
        <v>10</v>
      </c>
      <c r="B16" s="18" t="s">
        <v>122</v>
      </c>
      <c r="C16" s="3" t="s">
        <v>115</v>
      </c>
      <c r="D16" s="3">
        <v>14</v>
      </c>
      <c r="E16" s="3"/>
      <c r="F16" s="12"/>
    </row>
    <row r="17" spans="1:6">
      <c r="A17" s="28">
        <v>11</v>
      </c>
      <c r="B17" s="18" t="s">
        <v>124</v>
      </c>
      <c r="C17" s="3" t="s">
        <v>118</v>
      </c>
      <c r="D17" s="3">
        <f>D11+(D9*2.5)</f>
        <v>2.1959999999999997</v>
      </c>
      <c r="E17" s="3"/>
      <c r="F17" s="12"/>
    </row>
    <row r="18" spans="1:6">
      <c r="A18" s="28">
        <v>12</v>
      </c>
      <c r="B18" s="21" t="s">
        <v>125</v>
      </c>
      <c r="C18" s="3" t="s">
        <v>118</v>
      </c>
      <c r="D18" s="3">
        <f>D17</f>
        <v>2.1959999999999997</v>
      </c>
      <c r="E18" s="3"/>
      <c r="F18" s="12"/>
    </row>
    <row r="19" spans="1:6">
      <c r="A19" s="28">
        <v>13</v>
      </c>
      <c r="B19" s="18" t="s">
        <v>127</v>
      </c>
      <c r="C19" s="3" t="s">
        <v>128</v>
      </c>
      <c r="D19" s="3">
        <v>50</v>
      </c>
      <c r="E19" s="3"/>
      <c r="F19" s="12"/>
    </row>
    <row r="20" spans="1:6">
      <c r="A20" s="28">
        <v>14</v>
      </c>
      <c r="B20" s="18" t="s">
        <v>386</v>
      </c>
      <c r="C20" s="28" t="s">
        <v>118</v>
      </c>
      <c r="D20" s="28">
        <f>D11</f>
        <v>0.996</v>
      </c>
      <c r="E20" s="28"/>
      <c r="F20" s="12"/>
    </row>
    <row r="21" spans="1:6">
      <c r="A21" s="28">
        <v>15</v>
      </c>
      <c r="B21" s="18" t="s">
        <v>150</v>
      </c>
      <c r="C21" s="6" t="s">
        <v>51</v>
      </c>
      <c r="D21" s="3">
        <v>2</v>
      </c>
      <c r="E21" s="3"/>
      <c r="F21" s="12"/>
    </row>
    <row r="22" spans="1:6">
      <c r="A22" s="28">
        <v>16</v>
      </c>
      <c r="B22" s="18" t="s">
        <v>129</v>
      </c>
      <c r="C22" s="3" t="s">
        <v>115</v>
      </c>
      <c r="D22" s="3">
        <f>D16</f>
        <v>14</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3"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213</v>
      </c>
      <c r="B3" s="64"/>
      <c r="C3" s="64"/>
      <c r="D3" s="64"/>
      <c r="E3" s="64"/>
      <c r="F3" s="64"/>
    </row>
    <row r="4" spans="1:6">
      <c r="A4" s="63" t="s">
        <v>59</v>
      </c>
      <c r="B4" s="64"/>
      <c r="C4" s="64"/>
      <c r="D4" s="64"/>
      <c r="E4" s="64"/>
      <c r="F4" s="64"/>
    </row>
    <row r="5" spans="1:6">
      <c r="A5" s="65" t="s">
        <v>214</v>
      </c>
      <c r="B5" s="66"/>
      <c r="C5" s="66"/>
      <c r="D5" s="66"/>
      <c r="E5" s="66"/>
      <c r="F5" s="66"/>
    </row>
    <row r="6" spans="1:6">
      <c r="A6" s="13" t="s">
        <v>1</v>
      </c>
      <c r="B6" s="14" t="s">
        <v>37</v>
      </c>
      <c r="C6" s="14" t="s">
        <v>38</v>
      </c>
      <c r="D6" s="15" t="s">
        <v>39</v>
      </c>
      <c r="E6" s="14" t="s">
        <v>40</v>
      </c>
      <c r="F6" s="14" t="s">
        <v>41</v>
      </c>
    </row>
    <row r="7" spans="1:6">
      <c r="A7" s="3">
        <v>1</v>
      </c>
      <c r="B7" s="18" t="s">
        <v>112</v>
      </c>
      <c r="C7" s="19" t="s">
        <v>47</v>
      </c>
      <c r="D7" s="3">
        <v>2</v>
      </c>
      <c r="E7" s="3"/>
      <c r="F7" s="12"/>
    </row>
    <row r="8" spans="1:6">
      <c r="A8" s="3">
        <v>2</v>
      </c>
      <c r="B8" s="18" t="s">
        <v>113</v>
      </c>
      <c r="C8" s="3" t="s">
        <v>47</v>
      </c>
      <c r="D8" s="3">
        <v>0</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0.82499999999999996</v>
      </c>
      <c r="E11" s="3"/>
      <c r="F11" s="12"/>
    </row>
    <row r="12" spans="1:6">
      <c r="A12" s="28">
        <v>6</v>
      </c>
      <c r="B12" s="18" t="s">
        <v>123</v>
      </c>
      <c r="C12" s="3" t="s">
        <v>52</v>
      </c>
      <c r="D12" s="3">
        <v>52.2</v>
      </c>
      <c r="E12" s="3"/>
      <c r="F12" s="12"/>
    </row>
    <row r="13" spans="1:6">
      <c r="A13" s="28">
        <v>7</v>
      </c>
      <c r="B13" s="18" t="s">
        <v>130</v>
      </c>
      <c r="C13" s="3" t="s">
        <v>46</v>
      </c>
      <c r="D13" s="3">
        <f>D16*0.78</f>
        <v>9.36</v>
      </c>
      <c r="E13" s="3"/>
      <c r="F13" s="12"/>
    </row>
    <row r="14" spans="1:6">
      <c r="A14" s="28">
        <v>8</v>
      </c>
      <c r="B14" s="18" t="s">
        <v>120</v>
      </c>
      <c r="C14" s="3" t="s">
        <v>119</v>
      </c>
      <c r="D14" s="3">
        <f>149*2+4*4</f>
        <v>314</v>
      </c>
      <c r="E14" s="3"/>
      <c r="F14" s="12"/>
    </row>
    <row r="15" spans="1:6">
      <c r="A15" s="28">
        <v>9</v>
      </c>
      <c r="B15" s="21" t="s">
        <v>121</v>
      </c>
      <c r="C15" s="3" t="s">
        <v>51</v>
      </c>
      <c r="D15" s="3">
        <v>494</v>
      </c>
      <c r="E15" s="3"/>
      <c r="F15" s="12"/>
    </row>
    <row r="16" spans="1:6" ht="30">
      <c r="A16" s="28">
        <v>10</v>
      </c>
      <c r="B16" s="18" t="s">
        <v>122</v>
      </c>
      <c r="C16" s="3" t="s">
        <v>115</v>
      </c>
      <c r="D16" s="3">
        <v>12</v>
      </c>
      <c r="E16" s="3"/>
      <c r="F16" s="12"/>
    </row>
    <row r="17" spans="1:6">
      <c r="A17" s="28">
        <v>11</v>
      </c>
      <c r="B17" s="18" t="s">
        <v>124</v>
      </c>
      <c r="C17" s="3" t="s">
        <v>118</v>
      </c>
      <c r="D17" s="3">
        <f>D11+(D9*2.5)</f>
        <v>2.0249999999999999</v>
      </c>
      <c r="E17" s="3"/>
      <c r="F17" s="12"/>
    </row>
    <row r="18" spans="1:6">
      <c r="A18" s="28">
        <v>12</v>
      </c>
      <c r="B18" s="21" t="s">
        <v>125</v>
      </c>
      <c r="C18" s="3" t="s">
        <v>118</v>
      </c>
      <c r="D18" s="3">
        <f>D17</f>
        <v>2.0249999999999999</v>
      </c>
      <c r="E18" s="3"/>
      <c r="F18" s="12"/>
    </row>
    <row r="19" spans="1:6">
      <c r="A19" s="28">
        <v>13</v>
      </c>
      <c r="B19" s="18" t="s">
        <v>127</v>
      </c>
      <c r="C19" s="3" t="s">
        <v>128</v>
      </c>
      <c r="D19" s="3">
        <v>50</v>
      </c>
      <c r="E19" s="3"/>
      <c r="F19" s="12"/>
    </row>
    <row r="20" spans="1:6">
      <c r="A20" s="28">
        <v>14</v>
      </c>
      <c r="B20" s="18" t="s">
        <v>386</v>
      </c>
      <c r="C20" s="28" t="s">
        <v>118</v>
      </c>
      <c r="D20" s="28">
        <f>D11</f>
        <v>0.82499999999999996</v>
      </c>
      <c r="E20" s="28"/>
      <c r="F20" s="12"/>
    </row>
    <row r="21" spans="1:6">
      <c r="A21" s="28">
        <v>15</v>
      </c>
      <c r="B21" s="18" t="s">
        <v>150</v>
      </c>
      <c r="C21" s="6" t="s">
        <v>51</v>
      </c>
      <c r="D21" s="3">
        <v>2</v>
      </c>
      <c r="E21" s="3"/>
      <c r="F21" s="12"/>
    </row>
    <row r="22" spans="1:6">
      <c r="A22" s="28">
        <v>16</v>
      </c>
      <c r="B22" s="18" t="s">
        <v>129</v>
      </c>
      <c r="C22" s="3" t="s">
        <v>115</v>
      </c>
      <c r="D22" s="3">
        <f>D16</f>
        <v>12</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4"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215</v>
      </c>
      <c r="B3" s="64"/>
      <c r="C3" s="64"/>
      <c r="D3" s="64"/>
      <c r="E3" s="64"/>
      <c r="F3" s="64"/>
    </row>
    <row r="4" spans="1:6">
      <c r="A4" s="63" t="s">
        <v>59</v>
      </c>
      <c r="B4" s="64"/>
      <c r="C4" s="64"/>
      <c r="D4" s="64"/>
      <c r="E4" s="64"/>
      <c r="F4" s="64"/>
    </row>
    <row r="5" spans="1:6">
      <c r="A5" s="65" t="s">
        <v>216</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8</v>
      </c>
      <c r="E7" s="3"/>
      <c r="F7" s="12"/>
    </row>
    <row r="8" spans="1:6">
      <c r="A8" s="3">
        <v>2</v>
      </c>
      <c r="B8" s="18" t="s">
        <v>113</v>
      </c>
      <c r="C8" s="3" t="s">
        <v>47</v>
      </c>
      <c r="D8" s="3">
        <v>16</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1.131</v>
      </c>
      <c r="E11" s="3"/>
      <c r="F11" s="12"/>
    </row>
    <row r="12" spans="1:6">
      <c r="A12" s="28">
        <v>6</v>
      </c>
      <c r="B12" s="18" t="s">
        <v>123</v>
      </c>
      <c r="C12" s="3" t="s">
        <v>52</v>
      </c>
      <c r="D12" s="3">
        <v>60</v>
      </c>
      <c r="E12" s="3"/>
      <c r="F12" s="12"/>
    </row>
    <row r="13" spans="1:6">
      <c r="A13" s="28">
        <v>7</v>
      </c>
      <c r="B13" s="18" t="s">
        <v>130</v>
      </c>
      <c r="C13" s="3" t="s">
        <v>46</v>
      </c>
      <c r="D13" s="3">
        <f>D16*0.78</f>
        <v>12.48</v>
      </c>
      <c r="E13" s="3"/>
      <c r="F13" s="12"/>
    </row>
    <row r="14" spans="1:6">
      <c r="A14" s="28">
        <v>8</v>
      </c>
      <c r="B14" s="18" t="s">
        <v>120</v>
      </c>
      <c r="C14" s="3" t="s">
        <v>119</v>
      </c>
      <c r="D14" s="3">
        <f>197*2+4*4</f>
        <v>410</v>
      </c>
      <c r="E14" s="3"/>
      <c r="F14" s="12"/>
    </row>
    <row r="15" spans="1:6">
      <c r="A15" s="28">
        <v>9</v>
      </c>
      <c r="B15" s="21" t="s">
        <v>121</v>
      </c>
      <c r="C15" s="3" t="s">
        <v>51</v>
      </c>
      <c r="D15" s="3">
        <v>654</v>
      </c>
      <c r="E15" s="3"/>
      <c r="F15" s="12"/>
    </row>
    <row r="16" spans="1:6" ht="30">
      <c r="A16" s="28">
        <v>10</v>
      </c>
      <c r="B16" s="18" t="s">
        <v>122</v>
      </c>
      <c r="C16" s="3" t="s">
        <v>115</v>
      </c>
      <c r="D16" s="3">
        <v>16</v>
      </c>
      <c r="E16" s="3"/>
      <c r="F16" s="12"/>
    </row>
    <row r="17" spans="1:6">
      <c r="A17" s="28">
        <v>11</v>
      </c>
      <c r="B17" s="18" t="s">
        <v>124</v>
      </c>
      <c r="C17" s="3" t="s">
        <v>118</v>
      </c>
      <c r="D17" s="3">
        <f>D11+(D9*2.5)</f>
        <v>2.331</v>
      </c>
      <c r="E17" s="3"/>
      <c r="F17" s="12"/>
    </row>
    <row r="18" spans="1:6">
      <c r="A18" s="28">
        <v>12</v>
      </c>
      <c r="B18" s="21" t="s">
        <v>125</v>
      </c>
      <c r="C18" s="3" t="s">
        <v>118</v>
      </c>
      <c r="D18" s="3">
        <f>D17</f>
        <v>2.331</v>
      </c>
      <c r="E18" s="3"/>
      <c r="F18" s="12"/>
    </row>
    <row r="19" spans="1:6">
      <c r="A19" s="28">
        <v>13</v>
      </c>
      <c r="B19" s="18" t="s">
        <v>127</v>
      </c>
      <c r="C19" s="3" t="s">
        <v>128</v>
      </c>
      <c r="D19" s="3">
        <v>50</v>
      </c>
      <c r="E19" s="3"/>
      <c r="F19" s="12"/>
    </row>
    <row r="20" spans="1:6">
      <c r="A20" s="28">
        <v>14</v>
      </c>
      <c r="B20" s="18" t="s">
        <v>386</v>
      </c>
      <c r="C20" s="28" t="s">
        <v>118</v>
      </c>
      <c r="D20" s="28">
        <f>D11</f>
        <v>1.131</v>
      </c>
      <c r="E20" s="28"/>
      <c r="F20" s="12"/>
    </row>
    <row r="21" spans="1:6">
      <c r="A21" s="28">
        <v>15</v>
      </c>
      <c r="B21" s="18" t="s">
        <v>150</v>
      </c>
      <c r="C21" s="6" t="s">
        <v>51</v>
      </c>
      <c r="D21" s="3">
        <v>2</v>
      </c>
      <c r="E21" s="3"/>
      <c r="F21" s="12"/>
    </row>
    <row r="22" spans="1:6">
      <c r="A22" s="28">
        <v>16</v>
      </c>
      <c r="B22" s="18" t="s">
        <v>129</v>
      </c>
      <c r="C22" s="3" t="s">
        <v>115</v>
      </c>
      <c r="D22" s="3">
        <f>D16</f>
        <v>16</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3"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217</v>
      </c>
      <c r="B3" s="64"/>
      <c r="C3" s="64"/>
      <c r="D3" s="64"/>
      <c r="E3" s="64"/>
      <c r="F3" s="64"/>
    </row>
    <row r="4" spans="1:6">
      <c r="A4" s="63" t="s">
        <v>59</v>
      </c>
      <c r="B4" s="64"/>
      <c r="C4" s="64"/>
      <c r="D4" s="64"/>
      <c r="E4" s="64"/>
      <c r="F4" s="64"/>
    </row>
    <row r="5" spans="1:6">
      <c r="A5" s="65" t="s">
        <v>218</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4</v>
      </c>
      <c r="E7" s="3"/>
      <c r="F7" s="12"/>
    </row>
    <row r="8" spans="1:6">
      <c r="A8" s="3">
        <v>2</v>
      </c>
      <c r="B8" s="18" t="s">
        <v>113</v>
      </c>
      <c r="C8" s="3" t="s">
        <v>47</v>
      </c>
      <c r="D8" s="3">
        <v>8</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0.82499999999999996</v>
      </c>
      <c r="E11" s="3"/>
      <c r="F11" s="12"/>
    </row>
    <row r="12" spans="1:6">
      <c r="A12" s="28">
        <v>6</v>
      </c>
      <c r="B12" s="18" t="s">
        <v>123</v>
      </c>
      <c r="C12" s="3" t="s">
        <v>52</v>
      </c>
      <c r="D12" s="3">
        <v>52.2</v>
      </c>
      <c r="E12" s="3"/>
      <c r="F12" s="12"/>
    </row>
    <row r="13" spans="1:6">
      <c r="A13" s="28">
        <v>7</v>
      </c>
      <c r="B13" s="18" t="s">
        <v>130</v>
      </c>
      <c r="C13" s="3" t="s">
        <v>46</v>
      </c>
      <c r="D13" s="3">
        <f>D16*0.78</f>
        <v>9.36</v>
      </c>
      <c r="E13" s="3"/>
      <c r="F13" s="12"/>
    </row>
    <row r="14" spans="1:6">
      <c r="A14" s="28">
        <v>8</v>
      </c>
      <c r="B14" s="18" t="s">
        <v>120</v>
      </c>
      <c r="C14" s="3" t="s">
        <v>119</v>
      </c>
      <c r="D14" s="3">
        <f>149*2+4*4</f>
        <v>314</v>
      </c>
      <c r="E14" s="3"/>
      <c r="F14" s="12"/>
    </row>
    <row r="15" spans="1:6">
      <c r="A15" s="28">
        <v>9</v>
      </c>
      <c r="B15" s="21" t="s">
        <v>121</v>
      </c>
      <c r="C15" s="3" t="s">
        <v>51</v>
      </c>
      <c r="D15" s="3">
        <v>494</v>
      </c>
      <c r="E15" s="3"/>
      <c r="F15" s="12"/>
    </row>
    <row r="16" spans="1:6" ht="30">
      <c r="A16" s="28">
        <v>10</v>
      </c>
      <c r="B16" s="18" t="s">
        <v>122</v>
      </c>
      <c r="C16" s="3" t="s">
        <v>115</v>
      </c>
      <c r="D16" s="3">
        <v>12</v>
      </c>
      <c r="E16" s="3"/>
      <c r="F16" s="12"/>
    </row>
    <row r="17" spans="1:6">
      <c r="A17" s="28">
        <v>11</v>
      </c>
      <c r="B17" s="18" t="s">
        <v>124</v>
      </c>
      <c r="C17" s="3" t="s">
        <v>118</v>
      </c>
      <c r="D17" s="3">
        <f>D11+(D9*2.5)</f>
        <v>2.0249999999999999</v>
      </c>
      <c r="E17" s="3"/>
      <c r="F17" s="12"/>
    </row>
    <row r="18" spans="1:6">
      <c r="A18" s="28">
        <v>12</v>
      </c>
      <c r="B18" s="21" t="s">
        <v>125</v>
      </c>
      <c r="C18" s="3" t="s">
        <v>118</v>
      </c>
      <c r="D18" s="3">
        <f>D17</f>
        <v>2.0249999999999999</v>
      </c>
      <c r="E18" s="3"/>
      <c r="F18" s="12"/>
    </row>
    <row r="19" spans="1:6">
      <c r="A19" s="28">
        <v>13</v>
      </c>
      <c r="B19" s="18" t="s">
        <v>127</v>
      </c>
      <c r="C19" s="3" t="s">
        <v>128</v>
      </c>
      <c r="D19" s="3">
        <v>50</v>
      </c>
      <c r="E19" s="3"/>
      <c r="F19" s="12"/>
    </row>
    <row r="20" spans="1:6">
      <c r="A20" s="28">
        <v>14</v>
      </c>
      <c r="B20" s="18" t="s">
        <v>386</v>
      </c>
      <c r="C20" s="28" t="s">
        <v>118</v>
      </c>
      <c r="D20" s="28">
        <f>D11</f>
        <v>0.82499999999999996</v>
      </c>
      <c r="E20" s="28"/>
      <c r="F20" s="12"/>
    </row>
    <row r="21" spans="1:6">
      <c r="A21" s="28">
        <v>15</v>
      </c>
      <c r="B21" s="18" t="s">
        <v>150</v>
      </c>
      <c r="C21" s="6" t="s">
        <v>51</v>
      </c>
      <c r="D21" s="3">
        <v>2</v>
      </c>
      <c r="E21" s="3"/>
      <c r="F21" s="12"/>
    </row>
    <row r="22" spans="1:6">
      <c r="A22" s="28">
        <v>16</v>
      </c>
      <c r="B22" s="18" t="s">
        <v>129</v>
      </c>
      <c r="C22" s="3" t="s">
        <v>115</v>
      </c>
      <c r="D22" s="3">
        <f>D16</f>
        <v>12</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3"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219</v>
      </c>
      <c r="B3" s="64"/>
      <c r="C3" s="64"/>
      <c r="D3" s="64"/>
      <c r="E3" s="64"/>
      <c r="F3" s="64"/>
    </row>
    <row r="4" spans="1:6">
      <c r="A4" s="63" t="s">
        <v>59</v>
      </c>
      <c r="B4" s="64"/>
      <c r="C4" s="64"/>
      <c r="D4" s="64"/>
      <c r="E4" s="64"/>
      <c r="F4" s="64"/>
    </row>
    <row r="5" spans="1:6">
      <c r="A5" s="65" t="s">
        <v>220</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4</v>
      </c>
      <c r="E7" s="3"/>
      <c r="F7" s="12"/>
    </row>
    <row r="8" spans="1:6">
      <c r="A8" s="3">
        <v>2</v>
      </c>
      <c r="B8" s="18" t="s">
        <v>113</v>
      </c>
      <c r="C8" s="3" t="s">
        <v>47</v>
      </c>
      <c r="D8" s="3">
        <v>8</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0.996</v>
      </c>
      <c r="E11" s="3"/>
      <c r="F11" s="12"/>
    </row>
    <row r="12" spans="1:6">
      <c r="A12" s="28">
        <v>6</v>
      </c>
      <c r="B12" s="18" t="s">
        <v>123</v>
      </c>
      <c r="C12" s="3" t="s">
        <v>52</v>
      </c>
      <c r="D12" s="3">
        <v>60.6</v>
      </c>
      <c r="E12" s="3"/>
      <c r="F12" s="12"/>
    </row>
    <row r="13" spans="1:6">
      <c r="A13" s="28">
        <v>7</v>
      </c>
      <c r="B13" s="18" t="s">
        <v>130</v>
      </c>
      <c r="C13" s="3" t="s">
        <v>46</v>
      </c>
      <c r="D13" s="3">
        <f>D16*0.78</f>
        <v>10.92</v>
      </c>
      <c r="E13" s="3"/>
      <c r="F13" s="12"/>
    </row>
    <row r="14" spans="1:6">
      <c r="A14" s="28">
        <v>8</v>
      </c>
      <c r="B14" s="18" t="s">
        <v>120</v>
      </c>
      <c r="C14" s="3" t="s">
        <v>119</v>
      </c>
      <c r="D14" s="3">
        <f>173*2+4*4</f>
        <v>362</v>
      </c>
      <c r="E14" s="3"/>
      <c r="F14" s="12"/>
    </row>
    <row r="15" spans="1:6">
      <c r="A15" s="28">
        <v>9</v>
      </c>
      <c r="B15" s="21" t="s">
        <v>121</v>
      </c>
      <c r="C15" s="3" t="s">
        <v>51</v>
      </c>
      <c r="D15" s="3">
        <v>574</v>
      </c>
      <c r="E15" s="3"/>
      <c r="F15" s="12"/>
    </row>
    <row r="16" spans="1:6" ht="30">
      <c r="A16" s="28">
        <v>10</v>
      </c>
      <c r="B16" s="18" t="s">
        <v>122</v>
      </c>
      <c r="C16" s="3" t="s">
        <v>115</v>
      </c>
      <c r="D16" s="3">
        <v>14</v>
      </c>
      <c r="E16" s="3"/>
      <c r="F16" s="12"/>
    </row>
    <row r="17" spans="1:6">
      <c r="A17" s="28">
        <v>11</v>
      </c>
      <c r="B17" s="18" t="s">
        <v>124</v>
      </c>
      <c r="C17" s="3" t="s">
        <v>118</v>
      </c>
      <c r="D17" s="3">
        <f>D11+(D9*2.5)</f>
        <v>2.1959999999999997</v>
      </c>
      <c r="E17" s="3"/>
      <c r="F17" s="12"/>
    </row>
    <row r="18" spans="1:6">
      <c r="A18" s="28">
        <v>12</v>
      </c>
      <c r="B18" s="21" t="s">
        <v>125</v>
      </c>
      <c r="C18" s="3" t="s">
        <v>118</v>
      </c>
      <c r="D18" s="3">
        <f>D17</f>
        <v>2.1959999999999997</v>
      </c>
      <c r="E18" s="3"/>
      <c r="F18" s="12"/>
    </row>
    <row r="19" spans="1:6">
      <c r="A19" s="28">
        <v>13</v>
      </c>
      <c r="B19" s="18" t="s">
        <v>127</v>
      </c>
      <c r="C19" s="3" t="s">
        <v>128</v>
      </c>
      <c r="D19" s="3">
        <v>50</v>
      </c>
      <c r="E19" s="3"/>
      <c r="F19" s="12"/>
    </row>
    <row r="20" spans="1:6">
      <c r="A20" s="28">
        <v>14</v>
      </c>
      <c r="B20" s="18" t="s">
        <v>386</v>
      </c>
      <c r="C20" s="28" t="s">
        <v>118</v>
      </c>
      <c r="D20" s="28">
        <f>D11</f>
        <v>0.996</v>
      </c>
      <c r="E20" s="28"/>
      <c r="F20" s="12"/>
    </row>
    <row r="21" spans="1:6">
      <c r="A21" s="28">
        <v>15</v>
      </c>
      <c r="B21" s="18" t="s">
        <v>150</v>
      </c>
      <c r="C21" s="6" t="s">
        <v>51</v>
      </c>
      <c r="D21" s="3">
        <v>2</v>
      </c>
      <c r="E21" s="3"/>
      <c r="F21" s="12"/>
    </row>
    <row r="22" spans="1:6">
      <c r="A22" s="28">
        <v>16</v>
      </c>
      <c r="B22" s="18" t="s">
        <v>129</v>
      </c>
      <c r="C22" s="3" t="s">
        <v>115</v>
      </c>
      <c r="D22" s="3">
        <f>D16</f>
        <v>14</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3"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221</v>
      </c>
      <c r="B3" s="64"/>
      <c r="C3" s="64"/>
      <c r="D3" s="64"/>
      <c r="E3" s="64"/>
      <c r="F3" s="64"/>
    </row>
    <row r="4" spans="1:6">
      <c r="A4" s="63" t="s">
        <v>59</v>
      </c>
      <c r="B4" s="64"/>
      <c r="C4" s="64"/>
      <c r="D4" s="64"/>
      <c r="E4" s="64"/>
      <c r="F4" s="64"/>
    </row>
    <row r="5" spans="1:6">
      <c r="A5" s="65" t="s">
        <v>220</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4</v>
      </c>
      <c r="E7" s="3"/>
      <c r="F7" s="12"/>
    </row>
    <row r="8" spans="1:6">
      <c r="A8" s="3">
        <v>2</v>
      </c>
      <c r="B8" s="18" t="s">
        <v>113</v>
      </c>
      <c r="C8" s="3" t="s">
        <v>47</v>
      </c>
      <c r="D8" s="3">
        <v>8</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0.996</v>
      </c>
      <c r="E11" s="3"/>
      <c r="F11" s="12"/>
    </row>
    <row r="12" spans="1:6">
      <c r="A12" s="28">
        <v>6</v>
      </c>
      <c r="B12" s="18" t="s">
        <v>123</v>
      </c>
      <c r="C12" s="3" t="s">
        <v>52</v>
      </c>
      <c r="D12" s="3">
        <v>60.6</v>
      </c>
      <c r="E12" s="3"/>
      <c r="F12" s="12"/>
    </row>
    <row r="13" spans="1:6">
      <c r="A13" s="28">
        <v>7</v>
      </c>
      <c r="B13" s="18" t="s">
        <v>130</v>
      </c>
      <c r="C13" s="3" t="s">
        <v>46</v>
      </c>
      <c r="D13" s="3">
        <f>D16*0.78</f>
        <v>10.92</v>
      </c>
      <c r="E13" s="3"/>
      <c r="F13" s="12"/>
    </row>
    <row r="14" spans="1:6">
      <c r="A14" s="28">
        <v>8</v>
      </c>
      <c r="B14" s="18" t="s">
        <v>120</v>
      </c>
      <c r="C14" s="3" t="s">
        <v>119</v>
      </c>
      <c r="D14" s="3">
        <f>173*2+4*4</f>
        <v>362</v>
      </c>
      <c r="E14" s="3"/>
      <c r="F14" s="12"/>
    </row>
    <row r="15" spans="1:6">
      <c r="A15" s="28">
        <v>9</v>
      </c>
      <c r="B15" s="21" t="s">
        <v>121</v>
      </c>
      <c r="C15" s="3" t="s">
        <v>51</v>
      </c>
      <c r="D15" s="3">
        <v>574</v>
      </c>
      <c r="E15" s="3"/>
      <c r="F15" s="12"/>
    </row>
    <row r="16" spans="1:6" ht="30">
      <c r="A16" s="28">
        <v>10</v>
      </c>
      <c r="B16" s="18" t="s">
        <v>122</v>
      </c>
      <c r="C16" s="3" t="s">
        <v>115</v>
      </c>
      <c r="D16" s="3">
        <v>14</v>
      </c>
      <c r="E16" s="3"/>
      <c r="F16" s="12"/>
    </row>
    <row r="17" spans="1:6">
      <c r="A17" s="28">
        <v>11</v>
      </c>
      <c r="B17" s="18" t="s">
        <v>124</v>
      </c>
      <c r="C17" s="3" t="s">
        <v>118</v>
      </c>
      <c r="D17" s="3">
        <f>D11+(D9*2.5)</f>
        <v>2.1959999999999997</v>
      </c>
      <c r="E17" s="3"/>
      <c r="F17" s="12"/>
    </row>
    <row r="18" spans="1:6">
      <c r="A18" s="28">
        <v>12</v>
      </c>
      <c r="B18" s="21" t="s">
        <v>125</v>
      </c>
      <c r="C18" s="3" t="s">
        <v>118</v>
      </c>
      <c r="D18" s="3">
        <f>D17</f>
        <v>2.1959999999999997</v>
      </c>
      <c r="E18" s="3"/>
      <c r="F18" s="12"/>
    </row>
    <row r="19" spans="1:6">
      <c r="A19" s="28">
        <v>13</v>
      </c>
      <c r="B19" s="18" t="s">
        <v>127</v>
      </c>
      <c r="C19" s="3" t="s">
        <v>128</v>
      </c>
      <c r="D19" s="3">
        <v>50</v>
      </c>
      <c r="E19" s="3"/>
      <c r="F19" s="12"/>
    </row>
    <row r="20" spans="1:6">
      <c r="A20" s="28">
        <v>14</v>
      </c>
      <c r="B20" s="18" t="s">
        <v>386</v>
      </c>
      <c r="C20" s="28" t="s">
        <v>118</v>
      </c>
      <c r="D20" s="28">
        <f>D11</f>
        <v>0.996</v>
      </c>
      <c r="E20" s="28"/>
      <c r="F20" s="12"/>
    </row>
    <row r="21" spans="1:6">
      <c r="A21" s="28">
        <v>15</v>
      </c>
      <c r="B21" s="18" t="s">
        <v>150</v>
      </c>
      <c r="C21" s="6" t="s">
        <v>51</v>
      </c>
      <c r="D21" s="3">
        <v>2</v>
      </c>
      <c r="E21" s="3"/>
      <c r="F21" s="12"/>
    </row>
    <row r="22" spans="1:6">
      <c r="A22" s="28">
        <v>16</v>
      </c>
      <c r="B22" s="18" t="s">
        <v>129</v>
      </c>
      <c r="C22" s="3" t="s">
        <v>115</v>
      </c>
      <c r="D22" s="3">
        <f>D16</f>
        <v>14</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4"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222</v>
      </c>
      <c r="B3" s="64"/>
      <c r="C3" s="64"/>
      <c r="D3" s="64"/>
      <c r="E3" s="64"/>
      <c r="F3" s="64"/>
    </row>
    <row r="4" spans="1:6">
      <c r="A4" s="63" t="s">
        <v>59</v>
      </c>
      <c r="B4" s="64"/>
      <c r="C4" s="64"/>
      <c r="D4" s="64"/>
      <c r="E4" s="64"/>
      <c r="F4" s="64"/>
    </row>
    <row r="5" spans="1:6">
      <c r="A5" s="65" t="s">
        <v>223</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4</v>
      </c>
      <c r="E7" s="3"/>
      <c r="F7" s="12"/>
    </row>
    <row r="8" spans="1:6">
      <c r="A8" s="3">
        <v>2</v>
      </c>
      <c r="B8" s="18" t="s">
        <v>113</v>
      </c>
      <c r="C8" s="3" t="s">
        <v>47</v>
      </c>
      <c r="D8" s="3">
        <v>8</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1.131</v>
      </c>
      <c r="E11" s="3"/>
      <c r="F11" s="12"/>
    </row>
    <row r="12" spans="1:6">
      <c r="A12" s="28">
        <v>6</v>
      </c>
      <c r="B12" s="18" t="s">
        <v>123</v>
      </c>
      <c r="C12" s="3" t="s">
        <v>52</v>
      </c>
      <c r="D12" s="3">
        <v>60</v>
      </c>
      <c r="E12" s="3"/>
      <c r="F12" s="12"/>
    </row>
    <row r="13" spans="1:6">
      <c r="A13" s="28">
        <v>7</v>
      </c>
      <c r="B13" s="18" t="s">
        <v>130</v>
      </c>
      <c r="C13" s="3" t="s">
        <v>46</v>
      </c>
      <c r="D13" s="3">
        <f>D16*0.78</f>
        <v>12.48</v>
      </c>
      <c r="E13" s="3"/>
      <c r="F13" s="12"/>
    </row>
    <row r="14" spans="1:6">
      <c r="A14" s="28">
        <v>8</v>
      </c>
      <c r="B14" s="18" t="s">
        <v>120</v>
      </c>
      <c r="C14" s="3" t="s">
        <v>119</v>
      </c>
      <c r="D14" s="3">
        <f>197*2+4*4</f>
        <v>410</v>
      </c>
      <c r="E14" s="3"/>
      <c r="F14" s="12"/>
    </row>
    <row r="15" spans="1:6">
      <c r="A15" s="28">
        <v>9</v>
      </c>
      <c r="B15" s="21" t="s">
        <v>121</v>
      </c>
      <c r="C15" s="3" t="s">
        <v>51</v>
      </c>
      <c r="D15" s="3">
        <v>654</v>
      </c>
      <c r="E15" s="3"/>
      <c r="F15" s="12"/>
    </row>
    <row r="16" spans="1:6" ht="30">
      <c r="A16" s="28">
        <v>10</v>
      </c>
      <c r="B16" s="18" t="s">
        <v>122</v>
      </c>
      <c r="C16" s="3" t="s">
        <v>115</v>
      </c>
      <c r="D16" s="3">
        <v>16</v>
      </c>
      <c r="E16" s="3"/>
      <c r="F16" s="12"/>
    </row>
    <row r="17" spans="1:6">
      <c r="A17" s="28">
        <v>11</v>
      </c>
      <c r="B17" s="18" t="s">
        <v>124</v>
      </c>
      <c r="C17" s="3" t="s">
        <v>118</v>
      </c>
      <c r="D17" s="3">
        <f>D11+(D9*2.5)</f>
        <v>2.331</v>
      </c>
      <c r="E17" s="3"/>
      <c r="F17" s="12"/>
    </row>
    <row r="18" spans="1:6">
      <c r="A18" s="28">
        <v>12</v>
      </c>
      <c r="B18" s="21" t="s">
        <v>125</v>
      </c>
      <c r="C18" s="3" t="s">
        <v>118</v>
      </c>
      <c r="D18" s="3">
        <f>D17</f>
        <v>2.331</v>
      </c>
      <c r="E18" s="3"/>
      <c r="F18" s="12"/>
    </row>
    <row r="19" spans="1:6">
      <c r="A19" s="28">
        <v>13</v>
      </c>
      <c r="B19" s="18" t="s">
        <v>127</v>
      </c>
      <c r="C19" s="3" t="s">
        <v>128</v>
      </c>
      <c r="D19" s="3">
        <v>50</v>
      </c>
      <c r="E19" s="3"/>
      <c r="F19" s="12"/>
    </row>
    <row r="20" spans="1:6">
      <c r="A20" s="28">
        <v>14</v>
      </c>
      <c r="B20" s="18" t="s">
        <v>386</v>
      </c>
      <c r="C20" s="28" t="s">
        <v>118</v>
      </c>
      <c r="D20" s="28">
        <f>D11</f>
        <v>1.131</v>
      </c>
      <c r="E20" s="28"/>
      <c r="F20" s="12"/>
    </row>
    <row r="21" spans="1:6">
      <c r="A21" s="28">
        <v>15</v>
      </c>
      <c r="B21" s="18" t="s">
        <v>150</v>
      </c>
      <c r="C21" s="6" t="s">
        <v>51</v>
      </c>
      <c r="D21" s="3">
        <v>2</v>
      </c>
      <c r="E21" s="3"/>
      <c r="F21" s="12"/>
    </row>
    <row r="22" spans="1:6">
      <c r="A22" s="28">
        <v>16</v>
      </c>
      <c r="B22" s="18" t="s">
        <v>129</v>
      </c>
      <c r="C22" s="3" t="s">
        <v>115</v>
      </c>
      <c r="D22" s="3">
        <f>D16</f>
        <v>16</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3"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224</v>
      </c>
      <c r="B3" s="64"/>
      <c r="C3" s="64"/>
      <c r="D3" s="64"/>
      <c r="E3" s="64"/>
      <c r="F3" s="64"/>
    </row>
    <row r="4" spans="1:6">
      <c r="A4" s="63" t="s">
        <v>59</v>
      </c>
      <c r="B4" s="64"/>
      <c r="C4" s="64"/>
      <c r="D4" s="64"/>
      <c r="E4" s="64"/>
      <c r="F4" s="64"/>
    </row>
    <row r="5" spans="1:6">
      <c r="A5" s="65" t="s">
        <v>225</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4</v>
      </c>
      <c r="E7" s="3"/>
      <c r="F7" s="12"/>
    </row>
    <row r="8" spans="1:6">
      <c r="A8" s="3">
        <v>2</v>
      </c>
      <c r="B8" s="18" t="s">
        <v>113</v>
      </c>
      <c r="C8" s="3" t="s">
        <v>47</v>
      </c>
      <c r="D8" s="3">
        <v>8</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1.131</v>
      </c>
      <c r="E11" s="3"/>
      <c r="F11" s="12"/>
    </row>
    <row r="12" spans="1:6">
      <c r="A12" s="28">
        <v>6</v>
      </c>
      <c r="B12" s="18" t="s">
        <v>123</v>
      </c>
      <c r="C12" s="3" t="s">
        <v>52</v>
      </c>
      <c r="D12" s="3">
        <v>60</v>
      </c>
      <c r="E12" s="3"/>
      <c r="F12" s="12"/>
    </row>
    <row r="13" spans="1:6">
      <c r="A13" s="28">
        <v>7</v>
      </c>
      <c r="B13" s="18" t="s">
        <v>130</v>
      </c>
      <c r="C13" s="3" t="s">
        <v>46</v>
      </c>
      <c r="D13" s="3">
        <f>D16*0.78</f>
        <v>12.48</v>
      </c>
      <c r="E13" s="3"/>
      <c r="F13" s="12"/>
    </row>
    <row r="14" spans="1:6">
      <c r="A14" s="28">
        <v>8</v>
      </c>
      <c r="B14" s="18" t="s">
        <v>120</v>
      </c>
      <c r="C14" s="3" t="s">
        <v>119</v>
      </c>
      <c r="D14" s="3">
        <f>197*2+4*4</f>
        <v>410</v>
      </c>
      <c r="E14" s="3"/>
      <c r="F14" s="12"/>
    </row>
    <row r="15" spans="1:6">
      <c r="A15" s="28">
        <v>9</v>
      </c>
      <c r="B15" s="21" t="s">
        <v>121</v>
      </c>
      <c r="C15" s="3" t="s">
        <v>51</v>
      </c>
      <c r="D15" s="3">
        <v>654</v>
      </c>
      <c r="E15" s="3"/>
      <c r="F15" s="12"/>
    </row>
    <row r="16" spans="1:6" ht="30">
      <c r="A16" s="28">
        <v>10</v>
      </c>
      <c r="B16" s="18" t="s">
        <v>122</v>
      </c>
      <c r="C16" s="3" t="s">
        <v>115</v>
      </c>
      <c r="D16" s="3">
        <v>16</v>
      </c>
      <c r="E16" s="3"/>
      <c r="F16" s="12"/>
    </row>
    <row r="17" spans="1:6">
      <c r="A17" s="28">
        <v>11</v>
      </c>
      <c r="B17" s="18" t="s">
        <v>124</v>
      </c>
      <c r="C17" s="3" t="s">
        <v>118</v>
      </c>
      <c r="D17" s="3">
        <f>D11+(D9*2.5)</f>
        <v>2.331</v>
      </c>
      <c r="E17" s="3"/>
      <c r="F17" s="12"/>
    </row>
    <row r="18" spans="1:6">
      <c r="A18" s="28">
        <v>12</v>
      </c>
      <c r="B18" s="21" t="s">
        <v>125</v>
      </c>
      <c r="C18" s="3" t="s">
        <v>118</v>
      </c>
      <c r="D18" s="3">
        <f>D17</f>
        <v>2.331</v>
      </c>
      <c r="E18" s="3"/>
      <c r="F18" s="12"/>
    </row>
    <row r="19" spans="1:6">
      <c r="A19" s="28">
        <v>13</v>
      </c>
      <c r="B19" s="18" t="s">
        <v>127</v>
      </c>
      <c r="C19" s="3" t="s">
        <v>128</v>
      </c>
      <c r="D19" s="3">
        <v>50</v>
      </c>
      <c r="E19" s="3"/>
      <c r="F19" s="12"/>
    </row>
    <row r="20" spans="1:6">
      <c r="A20" s="28">
        <v>14</v>
      </c>
      <c r="B20" s="18" t="s">
        <v>386</v>
      </c>
      <c r="C20" s="28" t="s">
        <v>118</v>
      </c>
      <c r="D20" s="28">
        <f>D11</f>
        <v>1.131</v>
      </c>
      <c r="E20" s="28"/>
      <c r="F20" s="12"/>
    </row>
    <row r="21" spans="1:6">
      <c r="A21" s="28">
        <v>15</v>
      </c>
      <c r="B21" s="18" t="s">
        <v>150</v>
      </c>
      <c r="C21" s="6" t="s">
        <v>51</v>
      </c>
      <c r="D21" s="3">
        <v>2</v>
      </c>
      <c r="E21" s="3"/>
      <c r="F21" s="12"/>
    </row>
    <row r="22" spans="1:6">
      <c r="A22" s="28">
        <v>16</v>
      </c>
      <c r="B22" s="18" t="s">
        <v>129</v>
      </c>
      <c r="C22" s="3" t="s">
        <v>115</v>
      </c>
      <c r="D22" s="3">
        <f>D16</f>
        <v>16</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3"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226</v>
      </c>
      <c r="B3" s="64"/>
      <c r="C3" s="64"/>
      <c r="D3" s="64"/>
      <c r="E3" s="64"/>
      <c r="F3" s="64"/>
    </row>
    <row r="4" spans="1:6">
      <c r="A4" s="63" t="s">
        <v>59</v>
      </c>
      <c r="B4" s="64"/>
      <c r="C4" s="64"/>
      <c r="D4" s="64"/>
      <c r="E4" s="64"/>
      <c r="F4" s="64"/>
    </row>
    <row r="5" spans="1:6">
      <c r="A5" s="65" t="s">
        <v>227</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2</v>
      </c>
      <c r="E7" s="3"/>
      <c r="F7" s="12"/>
    </row>
    <row r="8" spans="1:6">
      <c r="A8" s="3">
        <v>2</v>
      </c>
      <c r="B8" s="18" t="s">
        <v>113</v>
      </c>
      <c r="C8" s="3" t="s">
        <v>47</v>
      </c>
      <c r="D8" s="3">
        <v>4</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0.82499999999999996</v>
      </c>
      <c r="E11" s="3"/>
      <c r="F11" s="12"/>
    </row>
    <row r="12" spans="1:6">
      <c r="A12" s="28">
        <v>6</v>
      </c>
      <c r="B12" s="18" t="s">
        <v>123</v>
      </c>
      <c r="C12" s="3" t="s">
        <v>52</v>
      </c>
      <c r="D12" s="3">
        <v>52.2</v>
      </c>
      <c r="E12" s="3"/>
      <c r="F12" s="12"/>
    </row>
    <row r="13" spans="1:6">
      <c r="A13" s="28">
        <v>7</v>
      </c>
      <c r="B13" s="18" t="s">
        <v>130</v>
      </c>
      <c r="C13" s="3" t="s">
        <v>46</v>
      </c>
      <c r="D13" s="3">
        <f>D16*0.78</f>
        <v>9.36</v>
      </c>
      <c r="E13" s="3"/>
      <c r="F13" s="12"/>
    </row>
    <row r="14" spans="1:6">
      <c r="A14" s="28">
        <v>8</v>
      </c>
      <c r="B14" s="18" t="s">
        <v>120</v>
      </c>
      <c r="C14" s="3" t="s">
        <v>119</v>
      </c>
      <c r="D14" s="3">
        <f>149*2+4*4</f>
        <v>314</v>
      </c>
      <c r="E14" s="3"/>
      <c r="F14" s="12"/>
    </row>
    <row r="15" spans="1:6">
      <c r="A15" s="28">
        <v>9</v>
      </c>
      <c r="B15" s="21" t="s">
        <v>121</v>
      </c>
      <c r="C15" s="3" t="s">
        <v>51</v>
      </c>
      <c r="D15" s="3">
        <v>494</v>
      </c>
      <c r="E15" s="3"/>
      <c r="F15" s="12"/>
    </row>
    <row r="16" spans="1:6" ht="30">
      <c r="A16" s="28">
        <v>10</v>
      </c>
      <c r="B16" s="18" t="s">
        <v>122</v>
      </c>
      <c r="C16" s="3" t="s">
        <v>115</v>
      </c>
      <c r="D16" s="3">
        <v>12</v>
      </c>
      <c r="E16" s="3"/>
      <c r="F16" s="12"/>
    </row>
    <row r="17" spans="1:6">
      <c r="A17" s="28">
        <v>11</v>
      </c>
      <c r="B17" s="18" t="s">
        <v>124</v>
      </c>
      <c r="C17" s="3" t="s">
        <v>118</v>
      </c>
      <c r="D17" s="3">
        <f>D11+(D9*2.5)</f>
        <v>2.0249999999999999</v>
      </c>
      <c r="E17" s="3"/>
      <c r="F17" s="12"/>
    </row>
    <row r="18" spans="1:6">
      <c r="A18" s="28">
        <v>12</v>
      </c>
      <c r="B18" s="21" t="s">
        <v>125</v>
      </c>
      <c r="C18" s="3" t="s">
        <v>118</v>
      </c>
      <c r="D18" s="3">
        <f>D17</f>
        <v>2.0249999999999999</v>
      </c>
      <c r="E18" s="3"/>
      <c r="F18" s="12"/>
    </row>
    <row r="19" spans="1:6">
      <c r="A19" s="28">
        <v>13</v>
      </c>
      <c r="B19" s="18" t="s">
        <v>127</v>
      </c>
      <c r="C19" s="3" t="s">
        <v>128</v>
      </c>
      <c r="D19" s="3">
        <v>50</v>
      </c>
      <c r="E19" s="3"/>
      <c r="F19" s="12"/>
    </row>
    <row r="20" spans="1:6">
      <c r="A20" s="28">
        <v>14</v>
      </c>
      <c r="B20" s="18" t="s">
        <v>386</v>
      </c>
      <c r="C20" s="28" t="s">
        <v>118</v>
      </c>
      <c r="D20" s="28">
        <f>D11</f>
        <v>0.82499999999999996</v>
      </c>
      <c r="E20" s="28"/>
      <c r="F20" s="12"/>
    </row>
    <row r="21" spans="1:6">
      <c r="A21" s="28">
        <v>15</v>
      </c>
      <c r="B21" s="18" t="s">
        <v>150</v>
      </c>
      <c r="C21" s="6" t="s">
        <v>51</v>
      </c>
      <c r="D21" s="3">
        <v>2</v>
      </c>
      <c r="E21" s="3"/>
      <c r="F21" s="12"/>
    </row>
    <row r="22" spans="1:6">
      <c r="A22" s="28">
        <v>16</v>
      </c>
      <c r="B22" s="18" t="s">
        <v>129</v>
      </c>
      <c r="C22" s="3" t="s">
        <v>115</v>
      </c>
      <c r="D22" s="3">
        <f>D16</f>
        <v>12</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3"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228</v>
      </c>
      <c r="B3" s="64"/>
      <c r="C3" s="64"/>
      <c r="D3" s="64"/>
      <c r="E3" s="64"/>
      <c r="F3" s="64"/>
    </row>
    <row r="4" spans="1:6">
      <c r="A4" s="63" t="s">
        <v>59</v>
      </c>
      <c r="B4" s="64"/>
      <c r="C4" s="64"/>
      <c r="D4" s="64"/>
      <c r="E4" s="64"/>
      <c r="F4" s="64"/>
    </row>
    <row r="5" spans="1:6">
      <c r="A5" s="65" t="s">
        <v>229</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2</v>
      </c>
      <c r="E7" s="3"/>
      <c r="F7" s="12"/>
    </row>
    <row r="8" spans="1:6">
      <c r="A8" s="3">
        <v>2</v>
      </c>
      <c r="B8" s="18" t="s">
        <v>113</v>
      </c>
      <c r="C8" s="3" t="s">
        <v>47</v>
      </c>
      <c r="D8" s="3">
        <v>4</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0.82499999999999996</v>
      </c>
      <c r="E11" s="3"/>
      <c r="F11" s="12"/>
    </row>
    <row r="12" spans="1:6">
      <c r="A12" s="28">
        <v>6</v>
      </c>
      <c r="B12" s="18" t="s">
        <v>123</v>
      </c>
      <c r="C12" s="3" t="s">
        <v>52</v>
      </c>
      <c r="D12" s="3">
        <v>52.2</v>
      </c>
      <c r="E12" s="3"/>
      <c r="F12" s="12"/>
    </row>
    <row r="13" spans="1:6">
      <c r="A13" s="28">
        <v>7</v>
      </c>
      <c r="B13" s="18" t="s">
        <v>130</v>
      </c>
      <c r="C13" s="3" t="s">
        <v>46</v>
      </c>
      <c r="D13" s="3">
        <f>D16*0.78</f>
        <v>9.36</v>
      </c>
      <c r="E13" s="3"/>
      <c r="F13" s="12"/>
    </row>
    <row r="14" spans="1:6">
      <c r="A14" s="28">
        <v>8</v>
      </c>
      <c r="B14" s="18" t="s">
        <v>120</v>
      </c>
      <c r="C14" s="3" t="s">
        <v>119</v>
      </c>
      <c r="D14" s="3">
        <f>149*2+4*4</f>
        <v>314</v>
      </c>
      <c r="E14" s="3"/>
      <c r="F14" s="12"/>
    </row>
    <row r="15" spans="1:6">
      <c r="A15" s="28">
        <v>9</v>
      </c>
      <c r="B15" s="21" t="s">
        <v>121</v>
      </c>
      <c r="C15" s="3" t="s">
        <v>51</v>
      </c>
      <c r="D15" s="3">
        <v>494</v>
      </c>
      <c r="E15" s="3"/>
      <c r="F15" s="12"/>
    </row>
    <row r="16" spans="1:6" ht="30">
      <c r="A16" s="28">
        <v>10</v>
      </c>
      <c r="B16" s="18" t="s">
        <v>122</v>
      </c>
      <c r="C16" s="3" t="s">
        <v>115</v>
      </c>
      <c r="D16" s="3">
        <v>12</v>
      </c>
      <c r="E16" s="3"/>
      <c r="F16" s="12"/>
    </row>
    <row r="17" spans="1:6">
      <c r="A17" s="28">
        <v>11</v>
      </c>
      <c r="B17" s="18" t="s">
        <v>124</v>
      </c>
      <c r="C17" s="3" t="s">
        <v>118</v>
      </c>
      <c r="D17" s="3">
        <f>D11+(D9*2.5)</f>
        <v>2.0249999999999999</v>
      </c>
      <c r="E17" s="3"/>
      <c r="F17" s="12"/>
    </row>
    <row r="18" spans="1:6">
      <c r="A18" s="28">
        <v>12</v>
      </c>
      <c r="B18" s="21" t="s">
        <v>125</v>
      </c>
      <c r="C18" s="3" t="s">
        <v>118</v>
      </c>
      <c r="D18" s="3">
        <f>D17</f>
        <v>2.0249999999999999</v>
      </c>
      <c r="E18" s="3"/>
      <c r="F18" s="12"/>
    </row>
    <row r="19" spans="1:6">
      <c r="A19" s="28">
        <v>13</v>
      </c>
      <c r="B19" s="18" t="s">
        <v>127</v>
      </c>
      <c r="C19" s="3" t="s">
        <v>128</v>
      </c>
      <c r="D19" s="3">
        <v>50</v>
      </c>
      <c r="E19" s="3"/>
      <c r="F19" s="12"/>
    </row>
    <row r="20" spans="1:6">
      <c r="A20" s="28">
        <v>14</v>
      </c>
      <c r="B20" s="18" t="s">
        <v>386</v>
      </c>
      <c r="C20" s="28" t="s">
        <v>118</v>
      </c>
      <c r="D20" s="28">
        <f>D11</f>
        <v>0.82499999999999996</v>
      </c>
      <c r="E20" s="28"/>
      <c r="F20" s="12"/>
    </row>
    <row r="21" spans="1:6">
      <c r="A21" s="28">
        <v>15</v>
      </c>
      <c r="B21" s="18" t="s">
        <v>150</v>
      </c>
      <c r="C21" s="6" t="s">
        <v>51</v>
      </c>
      <c r="D21" s="3">
        <v>2</v>
      </c>
      <c r="E21" s="3"/>
      <c r="F21" s="12"/>
    </row>
    <row r="22" spans="1:6">
      <c r="A22" s="28">
        <v>16</v>
      </c>
      <c r="B22" s="18" t="s">
        <v>129</v>
      </c>
      <c r="C22" s="3" t="s">
        <v>115</v>
      </c>
      <c r="D22" s="3">
        <f>D16</f>
        <v>12</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G33"/>
  <sheetViews>
    <sheetView workbookViewId="0">
      <selection activeCell="D17" sqref="D17"/>
    </sheetView>
  </sheetViews>
  <sheetFormatPr defaultRowHeight="15"/>
  <cols>
    <col min="2" max="2" width="16.28515625" customWidth="1"/>
    <col min="3" max="3" width="39.28515625" bestFit="1" customWidth="1"/>
    <col min="4" max="4" width="18.42578125" customWidth="1"/>
    <col min="5" max="5" width="16.42578125" customWidth="1"/>
    <col min="6" max="6" width="15.140625" customWidth="1"/>
    <col min="7" max="7" width="9.5703125" bestFit="1" customWidth="1"/>
  </cols>
  <sheetData>
    <row r="1" spans="1:7" ht="21" customHeight="1"/>
    <row r="4" spans="1:7" ht="31.5">
      <c r="A4" s="13" t="s">
        <v>1</v>
      </c>
      <c r="B4" s="38" t="s">
        <v>351</v>
      </c>
      <c r="C4" s="38" t="s">
        <v>352</v>
      </c>
      <c r="D4" s="38" t="s">
        <v>38</v>
      </c>
      <c r="E4" s="38" t="s">
        <v>39</v>
      </c>
      <c r="F4" s="38" t="s">
        <v>353</v>
      </c>
      <c r="G4" s="38" t="s">
        <v>354</v>
      </c>
    </row>
    <row r="5" spans="1:7">
      <c r="A5" s="4">
        <v>1</v>
      </c>
      <c r="B5" s="4">
        <v>2</v>
      </c>
      <c r="C5" s="4">
        <v>3</v>
      </c>
      <c r="D5" s="4">
        <v>4</v>
      </c>
      <c r="E5" s="4">
        <v>5</v>
      </c>
      <c r="F5" s="4">
        <v>6</v>
      </c>
      <c r="G5" s="4">
        <v>7</v>
      </c>
    </row>
    <row r="6" spans="1:7" ht="16.5">
      <c r="A6" s="30"/>
      <c r="B6" s="31" t="s">
        <v>323</v>
      </c>
      <c r="C6" s="25" t="s">
        <v>355</v>
      </c>
      <c r="D6" s="25"/>
      <c r="E6" s="25"/>
      <c r="F6" s="25"/>
      <c r="G6" s="25"/>
    </row>
    <row r="7" spans="1:7" ht="16.5">
      <c r="A7" s="30">
        <v>1</v>
      </c>
      <c r="B7" s="31" t="s">
        <v>324</v>
      </c>
      <c r="C7" s="25" t="s">
        <v>356</v>
      </c>
      <c r="D7" s="25" t="s">
        <v>377</v>
      </c>
      <c r="E7" s="25">
        <v>310</v>
      </c>
      <c r="F7" s="25"/>
      <c r="G7" s="25"/>
    </row>
    <row r="8" spans="1:7" ht="16.5">
      <c r="A8" s="30">
        <v>2</v>
      </c>
      <c r="B8" s="31" t="s">
        <v>325</v>
      </c>
      <c r="C8" s="25" t="s">
        <v>357</v>
      </c>
      <c r="D8" s="25" t="s">
        <v>377</v>
      </c>
      <c r="E8" s="25">
        <v>650</v>
      </c>
      <c r="F8" s="25"/>
      <c r="G8" s="25"/>
    </row>
    <row r="9" spans="1:7" ht="16.5">
      <c r="A9" s="30">
        <v>3</v>
      </c>
      <c r="B9" s="31" t="s">
        <v>326</v>
      </c>
      <c r="C9" s="25" t="s">
        <v>358</v>
      </c>
      <c r="D9" s="25" t="s">
        <v>377</v>
      </c>
      <c r="E9" s="25">
        <v>780</v>
      </c>
      <c r="F9" s="25"/>
      <c r="G9" s="25"/>
    </row>
    <row r="10" spans="1:7" ht="16.5">
      <c r="A10" s="30">
        <v>4</v>
      </c>
      <c r="B10" s="31" t="s">
        <v>327</v>
      </c>
      <c r="C10" s="25" t="s">
        <v>359</v>
      </c>
      <c r="D10" s="25" t="s">
        <v>377</v>
      </c>
      <c r="E10" s="25">
        <v>150</v>
      </c>
      <c r="F10" s="25"/>
      <c r="G10" s="25"/>
    </row>
    <row r="11" spans="1:7" ht="16.5">
      <c r="A11" s="30">
        <v>5</v>
      </c>
      <c r="B11" s="31" t="s">
        <v>328</v>
      </c>
      <c r="C11" s="25" t="s">
        <v>360</v>
      </c>
      <c r="D11" s="25" t="s">
        <v>377</v>
      </c>
      <c r="E11" s="25">
        <v>150</v>
      </c>
      <c r="F11" s="25"/>
      <c r="G11" s="39"/>
    </row>
    <row r="12" spans="1:7" ht="16.5">
      <c r="A12" s="30"/>
      <c r="B12" s="29"/>
      <c r="C12" s="44" t="s">
        <v>381</v>
      </c>
      <c r="D12" s="25"/>
      <c r="E12" s="25"/>
      <c r="F12" s="25"/>
      <c r="G12" s="41">
        <f>SUM(G7:G11)</f>
        <v>0</v>
      </c>
    </row>
    <row r="13" spans="1:7" ht="16.5">
      <c r="A13" s="30"/>
      <c r="B13" s="31" t="s">
        <v>329</v>
      </c>
      <c r="C13" s="25" t="s">
        <v>361</v>
      </c>
      <c r="D13" s="25"/>
      <c r="E13" s="25"/>
      <c r="F13" s="25"/>
      <c r="G13" s="25"/>
    </row>
    <row r="14" spans="1:7" ht="16.5">
      <c r="A14" s="30">
        <v>1</v>
      </c>
      <c r="B14" s="31" t="s">
        <v>330</v>
      </c>
      <c r="C14" s="25" t="s">
        <v>362</v>
      </c>
      <c r="D14" s="25" t="s">
        <v>47</v>
      </c>
      <c r="E14" s="25">
        <v>20</v>
      </c>
      <c r="F14" s="25"/>
      <c r="G14" s="25"/>
    </row>
    <row r="15" spans="1:7" ht="16.5">
      <c r="A15" s="30">
        <v>2</v>
      </c>
      <c r="B15" s="31" t="s">
        <v>331</v>
      </c>
      <c r="C15" s="25" t="s">
        <v>363</v>
      </c>
      <c r="D15" s="25" t="s">
        <v>118</v>
      </c>
      <c r="E15" s="25">
        <v>15</v>
      </c>
      <c r="F15" s="25"/>
      <c r="G15" s="25"/>
    </row>
    <row r="16" spans="1:7" ht="16.5">
      <c r="A16" s="30">
        <v>3</v>
      </c>
      <c r="B16" s="31" t="s">
        <v>332</v>
      </c>
      <c r="C16" s="25" t="s">
        <v>364</v>
      </c>
      <c r="D16" s="25" t="s">
        <v>47</v>
      </c>
      <c r="E16" s="25">
        <v>10</v>
      </c>
      <c r="F16" s="25"/>
      <c r="G16" s="25"/>
    </row>
    <row r="17" spans="1:7" ht="16.5">
      <c r="A17" s="30">
        <v>4</v>
      </c>
      <c r="B17" s="32" t="s">
        <v>333</v>
      </c>
      <c r="C17" s="25" t="s">
        <v>365</v>
      </c>
      <c r="D17" s="25" t="s">
        <v>118</v>
      </c>
      <c r="E17" s="25">
        <v>2</v>
      </c>
      <c r="F17" s="25"/>
      <c r="G17" s="25"/>
    </row>
    <row r="18" spans="1:7" ht="16.5">
      <c r="A18" s="30">
        <v>5</v>
      </c>
      <c r="B18" s="32" t="s">
        <v>334</v>
      </c>
      <c r="C18" s="25" t="s">
        <v>366</v>
      </c>
      <c r="D18" s="25" t="s">
        <v>52</v>
      </c>
      <c r="E18" s="25">
        <v>5000</v>
      </c>
      <c r="F18" s="25"/>
      <c r="G18" s="25"/>
    </row>
    <row r="19" spans="1:7" ht="16.5">
      <c r="A19" s="30">
        <v>6</v>
      </c>
      <c r="B19" s="32" t="s">
        <v>335</v>
      </c>
      <c r="C19" s="25" t="s">
        <v>367</v>
      </c>
      <c r="D19" s="25" t="s">
        <v>115</v>
      </c>
      <c r="E19" s="25">
        <v>200</v>
      </c>
      <c r="F19" s="25"/>
      <c r="G19" s="25"/>
    </row>
    <row r="20" spans="1:7" ht="16.5">
      <c r="A20" s="30">
        <v>7</v>
      </c>
      <c r="B20" s="32" t="s">
        <v>336</v>
      </c>
      <c r="C20" s="25" t="s">
        <v>379</v>
      </c>
      <c r="D20" s="25" t="s">
        <v>51</v>
      </c>
      <c r="E20" s="25">
        <v>200</v>
      </c>
      <c r="F20" s="25"/>
      <c r="G20" s="25"/>
    </row>
    <row r="21" spans="1:7" ht="16.5">
      <c r="A21" s="30"/>
      <c r="B21" s="33"/>
      <c r="C21" s="44" t="s">
        <v>380</v>
      </c>
      <c r="D21" s="25"/>
      <c r="E21" s="25"/>
      <c r="F21" s="25"/>
      <c r="G21" s="41">
        <f>SUM(G14:G20)</f>
        <v>0</v>
      </c>
    </row>
    <row r="22" spans="1:7" ht="16.5">
      <c r="A22" s="34"/>
      <c r="B22" s="31" t="s">
        <v>337</v>
      </c>
      <c r="C22" s="25" t="s">
        <v>368</v>
      </c>
      <c r="D22" s="25"/>
      <c r="E22" s="25"/>
      <c r="F22" s="25"/>
      <c r="G22" s="42"/>
    </row>
    <row r="23" spans="1:7" ht="16.5">
      <c r="A23" s="34">
        <v>1</v>
      </c>
      <c r="B23" s="31" t="s">
        <v>338</v>
      </c>
      <c r="C23" s="25" t="s">
        <v>369</v>
      </c>
      <c r="D23" s="25" t="s">
        <v>377</v>
      </c>
      <c r="E23" s="25">
        <v>50</v>
      </c>
      <c r="F23" s="25"/>
      <c r="G23" s="25"/>
    </row>
    <row r="24" spans="1:7" ht="16.5">
      <c r="A24" s="34">
        <v>2</v>
      </c>
      <c r="B24" s="31" t="s">
        <v>339</v>
      </c>
      <c r="C24" s="25" t="s">
        <v>370</v>
      </c>
      <c r="D24" s="25" t="s">
        <v>377</v>
      </c>
      <c r="E24" s="25">
        <v>50</v>
      </c>
      <c r="F24" s="25"/>
      <c r="G24" s="25"/>
    </row>
    <row r="25" spans="1:7" ht="16.5">
      <c r="A25" s="34">
        <v>3</v>
      </c>
      <c r="B25" s="31" t="s">
        <v>340</v>
      </c>
      <c r="C25" s="25" t="s">
        <v>371</v>
      </c>
      <c r="D25" s="25" t="s">
        <v>377</v>
      </c>
      <c r="E25" s="25">
        <v>50</v>
      </c>
      <c r="F25" s="25"/>
      <c r="G25" s="25"/>
    </row>
    <row r="26" spans="1:7" ht="16.5">
      <c r="A26" s="34">
        <v>4</v>
      </c>
      <c r="B26" s="32" t="s">
        <v>341</v>
      </c>
      <c r="C26" s="25" t="s">
        <v>372</v>
      </c>
      <c r="D26" s="25" t="s">
        <v>377</v>
      </c>
      <c r="E26" s="25">
        <v>20</v>
      </c>
      <c r="F26" s="25"/>
      <c r="G26" s="25"/>
    </row>
    <row r="27" spans="1:7" ht="16.5">
      <c r="A27" s="34">
        <v>5</v>
      </c>
      <c r="B27" s="32" t="s">
        <v>342</v>
      </c>
      <c r="C27" s="25" t="s">
        <v>373</v>
      </c>
      <c r="D27" s="25" t="s">
        <v>377</v>
      </c>
      <c r="E27" s="25">
        <v>100</v>
      </c>
      <c r="F27" s="25"/>
      <c r="G27" s="25"/>
    </row>
    <row r="28" spans="1:7" ht="16.5">
      <c r="A28" s="34">
        <v>6</v>
      </c>
      <c r="B28" s="35" t="s">
        <v>343</v>
      </c>
      <c r="C28" s="25" t="s">
        <v>374</v>
      </c>
      <c r="D28" s="25" t="s">
        <v>377</v>
      </c>
      <c r="E28" s="25">
        <v>100</v>
      </c>
      <c r="F28" s="25"/>
      <c r="G28" s="25"/>
    </row>
    <row r="29" spans="1:7" ht="16.5">
      <c r="A29" s="34">
        <v>7</v>
      </c>
      <c r="B29" s="35" t="s">
        <v>344</v>
      </c>
      <c r="C29" s="25" t="s">
        <v>375</v>
      </c>
      <c r="D29" s="25" t="s">
        <v>377</v>
      </c>
      <c r="E29" s="25">
        <v>10</v>
      </c>
      <c r="F29" s="25"/>
      <c r="G29" s="25"/>
    </row>
    <row r="30" spans="1:7" ht="16.5">
      <c r="A30" s="34">
        <v>8</v>
      </c>
      <c r="B30" s="35" t="s">
        <v>345</v>
      </c>
      <c r="C30" s="25" t="s">
        <v>376</v>
      </c>
      <c r="D30" s="25" t="s">
        <v>377</v>
      </c>
      <c r="E30" s="25">
        <v>100</v>
      </c>
      <c r="F30" s="25"/>
      <c r="G30" s="25"/>
    </row>
    <row r="31" spans="1:7" ht="16.5">
      <c r="A31" s="34"/>
      <c r="B31" s="35"/>
      <c r="C31" s="44" t="s">
        <v>378</v>
      </c>
      <c r="D31" s="25"/>
      <c r="E31" s="25"/>
      <c r="F31" s="25"/>
      <c r="G31" s="41">
        <f>SUM(G23:G30)</f>
        <v>0</v>
      </c>
    </row>
    <row r="32" spans="1:7" ht="16.5">
      <c r="A32" s="34"/>
      <c r="B32" s="35"/>
      <c r="C32" s="25"/>
      <c r="D32" s="25"/>
      <c r="E32" s="25"/>
      <c r="F32" s="25"/>
      <c r="G32" s="25"/>
    </row>
    <row r="33" spans="1:7" ht="16.5">
      <c r="A33" s="30"/>
      <c r="B33" s="36"/>
      <c r="C33" s="25"/>
      <c r="D33" s="25"/>
      <c r="E33" s="25"/>
      <c r="F33" s="25"/>
      <c r="G33" s="25"/>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3"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230</v>
      </c>
      <c r="B3" s="64"/>
      <c r="C3" s="64"/>
      <c r="D3" s="64"/>
      <c r="E3" s="64"/>
      <c r="F3" s="64"/>
    </row>
    <row r="4" spans="1:6">
      <c r="A4" s="63" t="s">
        <v>59</v>
      </c>
      <c r="B4" s="64"/>
      <c r="C4" s="64"/>
      <c r="D4" s="64"/>
      <c r="E4" s="64"/>
      <c r="F4" s="64"/>
    </row>
    <row r="5" spans="1:6">
      <c r="A5" s="65" t="s">
        <v>231</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4</v>
      </c>
      <c r="E7" s="3"/>
      <c r="F7" s="12"/>
    </row>
    <row r="8" spans="1:6">
      <c r="A8" s="3">
        <v>2</v>
      </c>
      <c r="B8" s="18" t="s">
        <v>113</v>
      </c>
      <c r="C8" s="3" t="s">
        <v>47</v>
      </c>
      <c r="D8" s="3">
        <v>8</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1.131</v>
      </c>
      <c r="E11" s="3"/>
      <c r="F11" s="12"/>
    </row>
    <row r="12" spans="1:6">
      <c r="A12" s="28">
        <v>6</v>
      </c>
      <c r="B12" s="18" t="s">
        <v>123</v>
      </c>
      <c r="C12" s="3" t="s">
        <v>52</v>
      </c>
      <c r="D12" s="3">
        <v>60</v>
      </c>
      <c r="E12" s="3"/>
      <c r="F12" s="12"/>
    </row>
    <row r="13" spans="1:6">
      <c r="A13" s="28">
        <v>7</v>
      </c>
      <c r="B13" s="18" t="s">
        <v>130</v>
      </c>
      <c r="C13" s="3" t="s">
        <v>46</v>
      </c>
      <c r="D13" s="3">
        <f>D16*0.78</f>
        <v>12.48</v>
      </c>
      <c r="E13" s="3"/>
      <c r="F13" s="12"/>
    </row>
    <row r="14" spans="1:6">
      <c r="A14" s="28">
        <v>8</v>
      </c>
      <c r="B14" s="18" t="s">
        <v>120</v>
      </c>
      <c r="C14" s="3" t="s">
        <v>119</v>
      </c>
      <c r="D14" s="3">
        <f>197*2+4*4</f>
        <v>410</v>
      </c>
      <c r="E14" s="3"/>
      <c r="F14" s="12"/>
    </row>
    <row r="15" spans="1:6">
      <c r="A15" s="28">
        <v>9</v>
      </c>
      <c r="B15" s="21" t="s">
        <v>121</v>
      </c>
      <c r="C15" s="3" t="s">
        <v>51</v>
      </c>
      <c r="D15" s="3">
        <v>654</v>
      </c>
      <c r="E15" s="3"/>
      <c r="F15" s="12"/>
    </row>
    <row r="16" spans="1:6" ht="30">
      <c r="A16" s="28">
        <v>10</v>
      </c>
      <c r="B16" s="18" t="s">
        <v>122</v>
      </c>
      <c r="C16" s="3" t="s">
        <v>115</v>
      </c>
      <c r="D16" s="3">
        <v>16</v>
      </c>
      <c r="E16" s="3"/>
      <c r="F16" s="12"/>
    </row>
    <row r="17" spans="1:6">
      <c r="A17" s="28">
        <v>11</v>
      </c>
      <c r="B17" s="18" t="s">
        <v>124</v>
      </c>
      <c r="C17" s="3" t="s">
        <v>118</v>
      </c>
      <c r="D17" s="3">
        <f>D11+(D9*2.5)</f>
        <v>2.331</v>
      </c>
      <c r="E17" s="3"/>
      <c r="F17" s="12"/>
    </row>
    <row r="18" spans="1:6">
      <c r="A18" s="28">
        <v>12</v>
      </c>
      <c r="B18" s="21" t="s">
        <v>125</v>
      </c>
      <c r="C18" s="3" t="s">
        <v>118</v>
      </c>
      <c r="D18" s="3">
        <f>D17</f>
        <v>2.331</v>
      </c>
      <c r="E18" s="3"/>
      <c r="F18" s="12"/>
    </row>
    <row r="19" spans="1:6">
      <c r="A19" s="28">
        <v>13</v>
      </c>
      <c r="B19" s="18" t="s">
        <v>127</v>
      </c>
      <c r="C19" s="3" t="s">
        <v>128</v>
      </c>
      <c r="D19" s="3">
        <v>50</v>
      </c>
      <c r="E19" s="3"/>
      <c r="F19" s="12"/>
    </row>
    <row r="20" spans="1:6">
      <c r="A20" s="28">
        <v>14</v>
      </c>
      <c r="B20" s="18" t="s">
        <v>386</v>
      </c>
      <c r="C20" s="28" t="s">
        <v>118</v>
      </c>
      <c r="D20" s="28">
        <f>D11</f>
        <v>1.131</v>
      </c>
      <c r="E20" s="28"/>
      <c r="F20" s="12"/>
    </row>
    <row r="21" spans="1:6">
      <c r="A21" s="28">
        <v>15</v>
      </c>
      <c r="B21" s="18" t="s">
        <v>150</v>
      </c>
      <c r="C21" s="6" t="s">
        <v>51</v>
      </c>
      <c r="D21" s="3">
        <v>2</v>
      </c>
      <c r="E21" s="3"/>
      <c r="F21" s="12"/>
    </row>
    <row r="22" spans="1:6">
      <c r="A22" s="28">
        <v>16</v>
      </c>
      <c r="B22" s="18" t="s">
        <v>129</v>
      </c>
      <c r="C22" s="3" t="s">
        <v>115</v>
      </c>
      <c r="D22" s="3">
        <f>D16</f>
        <v>16</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232</v>
      </c>
      <c r="B3" s="64"/>
      <c r="C3" s="64"/>
      <c r="D3" s="64"/>
      <c r="E3" s="64"/>
      <c r="F3" s="64"/>
    </row>
    <row r="4" spans="1:6">
      <c r="A4" s="63" t="s">
        <v>59</v>
      </c>
      <c r="B4" s="64"/>
      <c r="C4" s="64"/>
      <c r="D4" s="64"/>
      <c r="E4" s="64"/>
      <c r="F4" s="64"/>
    </row>
    <row r="5" spans="1:6">
      <c r="A5" s="65" t="s">
        <v>233</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4</v>
      </c>
      <c r="E7" s="3"/>
      <c r="F7" s="12"/>
    </row>
    <row r="8" spans="1:6">
      <c r="A8" s="3">
        <v>2</v>
      </c>
      <c r="B8" s="18" t="s">
        <v>113</v>
      </c>
      <c r="C8" s="3" t="s">
        <v>47</v>
      </c>
      <c r="D8" s="3">
        <v>8</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0.82499999999999996</v>
      </c>
      <c r="E11" s="3"/>
      <c r="F11" s="12"/>
    </row>
    <row r="12" spans="1:6">
      <c r="A12" s="28">
        <v>6</v>
      </c>
      <c r="B12" s="18" t="s">
        <v>123</v>
      </c>
      <c r="C12" s="3" t="s">
        <v>52</v>
      </c>
      <c r="D12" s="3">
        <v>52.2</v>
      </c>
      <c r="E12" s="3"/>
      <c r="F12" s="12"/>
    </row>
    <row r="13" spans="1:6">
      <c r="A13" s="28">
        <v>7</v>
      </c>
      <c r="B13" s="18" t="s">
        <v>130</v>
      </c>
      <c r="C13" s="3" t="s">
        <v>46</v>
      </c>
      <c r="D13" s="3">
        <f>D16*0.78</f>
        <v>9.36</v>
      </c>
      <c r="E13" s="3"/>
      <c r="F13" s="12"/>
    </row>
    <row r="14" spans="1:6">
      <c r="A14" s="28">
        <v>8</v>
      </c>
      <c r="B14" s="18" t="s">
        <v>120</v>
      </c>
      <c r="C14" s="3" t="s">
        <v>119</v>
      </c>
      <c r="D14" s="3">
        <f>149*2+4*4</f>
        <v>314</v>
      </c>
      <c r="E14" s="3"/>
      <c r="F14" s="12"/>
    </row>
    <row r="15" spans="1:6">
      <c r="A15" s="28">
        <v>9</v>
      </c>
      <c r="B15" s="21" t="s">
        <v>121</v>
      </c>
      <c r="C15" s="3" t="s">
        <v>51</v>
      </c>
      <c r="D15" s="3">
        <v>494</v>
      </c>
      <c r="E15" s="3"/>
      <c r="F15" s="12"/>
    </row>
    <row r="16" spans="1:6" ht="30">
      <c r="A16" s="28">
        <v>10</v>
      </c>
      <c r="B16" s="18" t="s">
        <v>122</v>
      </c>
      <c r="C16" s="3" t="s">
        <v>115</v>
      </c>
      <c r="D16" s="3">
        <v>12</v>
      </c>
      <c r="E16" s="3"/>
      <c r="F16" s="12"/>
    </row>
    <row r="17" spans="1:6">
      <c r="A17" s="28">
        <v>11</v>
      </c>
      <c r="B17" s="18" t="s">
        <v>124</v>
      </c>
      <c r="C17" s="3" t="s">
        <v>118</v>
      </c>
      <c r="D17" s="3">
        <f>D11+(D9*2.5)</f>
        <v>2.0249999999999999</v>
      </c>
      <c r="E17" s="3"/>
      <c r="F17" s="12"/>
    </row>
    <row r="18" spans="1:6">
      <c r="A18" s="28">
        <v>12</v>
      </c>
      <c r="B18" s="21" t="s">
        <v>125</v>
      </c>
      <c r="C18" s="3" t="s">
        <v>118</v>
      </c>
      <c r="D18" s="3">
        <f>D17</f>
        <v>2.0249999999999999</v>
      </c>
      <c r="E18" s="3"/>
      <c r="F18" s="12"/>
    </row>
    <row r="19" spans="1:6">
      <c r="A19" s="28">
        <v>13</v>
      </c>
      <c r="B19" s="18" t="s">
        <v>127</v>
      </c>
      <c r="C19" s="3" t="s">
        <v>128</v>
      </c>
      <c r="D19" s="3">
        <v>50</v>
      </c>
      <c r="E19" s="3"/>
      <c r="F19" s="12"/>
    </row>
    <row r="20" spans="1:6">
      <c r="A20" s="28">
        <v>14</v>
      </c>
      <c r="B20" s="18" t="s">
        <v>386</v>
      </c>
      <c r="C20" s="28" t="s">
        <v>118</v>
      </c>
      <c r="D20" s="28">
        <f>D11</f>
        <v>0.82499999999999996</v>
      </c>
      <c r="E20" s="28"/>
      <c r="F20" s="12"/>
    </row>
    <row r="21" spans="1:6">
      <c r="A21" s="28">
        <v>15</v>
      </c>
      <c r="B21" s="18" t="s">
        <v>150</v>
      </c>
      <c r="C21" s="6" t="s">
        <v>51</v>
      </c>
      <c r="D21" s="3">
        <v>2</v>
      </c>
      <c r="E21" s="3"/>
      <c r="F21" s="12"/>
    </row>
    <row r="22" spans="1:6">
      <c r="A22" s="28">
        <v>16</v>
      </c>
      <c r="B22" s="18" t="s">
        <v>129</v>
      </c>
      <c r="C22" s="3" t="s">
        <v>115</v>
      </c>
      <c r="D22" s="3">
        <f>D16</f>
        <v>12</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3"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234</v>
      </c>
      <c r="B3" s="64"/>
      <c r="C3" s="64"/>
      <c r="D3" s="64"/>
      <c r="E3" s="64"/>
      <c r="F3" s="64"/>
    </row>
    <row r="4" spans="1:6">
      <c r="A4" s="63" t="s">
        <v>59</v>
      </c>
      <c r="B4" s="64"/>
      <c r="C4" s="64"/>
      <c r="D4" s="64"/>
      <c r="E4" s="64"/>
      <c r="F4" s="64"/>
    </row>
    <row r="5" spans="1:6">
      <c r="A5" s="65" t="s">
        <v>235</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4</v>
      </c>
      <c r="E7" s="3"/>
      <c r="F7" s="12"/>
    </row>
    <row r="8" spans="1:6">
      <c r="A8" s="3">
        <v>2</v>
      </c>
      <c r="B8" s="18" t="s">
        <v>113</v>
      </c>
      <c r="C8" s="3" t="s">
        <v>47</v>
      </c>
      <c r="D8" s="3">
        <v>8</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0.82499999999999996</v>
      </c>
      <c r="E11" s="3"/>
      <c r="F11" s="12"/>
    </row>
    <row r="12" spans="1:6">
      <c r="A12" s="28">
        <v>6</v>
      </c>
      <c r="B12" s="18" t="s">
        <v>123</v>
      </c>
      <c r="C12" s="3" t="s">
        <v>52</v>
      </c>
      <c r="D12" s="3">
        <v>52.2</v>
      </c>
      <c r="E12" s="3"/>
      <c r="F12" s="12"/>
    </row>
    <row r="13" spans="1:6">
      <c r="A13" s="28">
        <v>7</v>
      </c>
      <c r="B13" s="18" t="s">
        <v>130</v>
      </c>
      <c r="C13" s="3" t="s">
        <v>46</v>
      </c>
      <c r="D13" s="3">
        <f>D16*0.78</f>
        <v>9.36</v>
      </c>
      <c r="E13" s="3"/>
      <c r="F13" s="12"/>
    </row>
    <row r="14" spans="1:6">
      <c r="A14" s="28">
        <v>8</v>
      </c>
      <c r="B14" s="18" t="s">
        <v>120</v>
      </c>
      <c r="C14" s="3" t="s">
        <v>119</v>
      </c>
      <c r="D14" s="3">
        <f>149*2+4*4</f>
        <v>314</v>
      </c>
      <c r="E14" s="3"/>
      <c r="F14" s="12"/>
    </row>
    <row r="15" spans="1:6">
      <c r="A15" s="28">
        <v>9</v>
      </c>
      <c r="B15" s="21" t="s">
        <v>121</v>
      </c>
      <c r="C15" s="3" t="s">
        <v>51</v>
      </c>
      <c r="D15" s="3">
        <v>494</v>
      </c>
      <c r="E15" s="3"/>
      <c r="F15" s="12"/>
    </row>
    <row r="16" spans="1:6" ht="30">
      <c r="A16" s="28">
        <v>10</v>
      </c>
      <c r="B16" s="18" t="s">
        <v>122</v>
      </c>
      <c r="C16" s="3" t="s">
        <v>115</v>
      </c>
      <c r="D16" s="3">
        <v>12</v>
      </c>
      <c r="E16" s="3"/>
      <c r="F16" s="12"/>
    </row>
    <row r="17" spans="1:6">
      <c r="A17" s="28">
        <v>11</v>
      </c>
      <c r="B17" s="18" t="s">
        <v>124</v>
      </c>
      <c r="C17" s="3" t="s">
        <v>118</v>
      </c>
      <c r="D17" s="3">
        <f>D11+(D9*2.5)</f>
        <v>2.0249999999999999</v>
      </c>
      <c r="E17" s="3"/>
      <c r="F17" s="12"/>
    </row>
    <row r="18" spans="1:6">
      <c r="A18" s="28">
        <v>12</v>
      </c>
      <c r="B18" s="21" t="s">
        <v>125</v>
      </c>
      <c r="C18" s="3" t="s">
        <v>118</v>
      </c>
      <c r="D18" s="3">
        <f>D17</f>
        <v>2.0249999999999999</v>
      </c>
      <c r="E18" s="3"/>
      <c r="F18" s="12"/>
    </row>
    <row r="19" spans="1:6">
      <c r="A19" s="28">
        <v>13</v>
      </c>
      <c r="B19" s="18" t="s">
        <v>127</v>
      </c>
      <c r="C19" s="3" t="s">
        <v>128</v>
      </c>
      <c r="D19" s="3">
        <v>50</v>
      </c>
      <c r="E19" s="3"/>
      <c r="F19" s="12"/>
    </row>
    <row r="20" spans="1:6">
      <c r="A20" s="28">
        <v>14</v>
      </c>
      <c r="B20" s="18" t="s">
        <v>386</v>
      </c>
      <c r="C20" s="28" t="s">
        <v>118</v>
      </c>
      <c r="D20" s="28">
        <f>D11</f>
        <v>0.82499999999999996</v>
      </c>
      <c r="E20" s="28"/>
      <c r="F20" s="12"/>
    </row>
    <row r="21" spans="1:6">
      <c r="A21" s="28">
        <v>15</v>
      </c>
      <c r="B21" s="18" t="s">
        <v>150</v>
      </c>
      <c r="C21" s="6" t="s">
        <v>51</v>
      </c>
      <c r="D21" s="3">
        <v>2</v>
      </c>
      <c r="E21" s="3"/>
      <c r="F21" s="12"/>
    </row>
    <row r="22" spans="1:6">
      <c r="A22" s="28">
        <v>16</v>
      </c>
      <c r="B22" s="18" t="s">
        <v>129</v>
      </c>
      <c r="C22" s="3" t="s">
        <v>115</v>
      </c>
      <c r="D22" s="3">
        <f>D16</f>
        <v>12</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3"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236</v>
      </c>
      <c r="B3" s="64"/>
      <c r="C3" s="64"/>
      <c r="D3" s="64"/>
      <c r="E3" s="64"/>
      <c r="F3" s="64"/>
    </row>
    <row r="4" spans="1:6">
      <c r="A4" s="63" t="s">
        <v>59</v>
      </c>
      <c r="B4" s="64"/>
      <c r="C4" s="64"/>
      <c r="D4" s="64"/>
      <c r="E4" s="64"/>
      <c r="F4" s="64"/>
    </row>
    <row r="5" spans="1:6">
      <c r="A5" s="65" t="s">
        <v>237</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4</v>
      </c>
      <c r="E7" s="3"/>
      <c r="F7" s="12"/>
    </row>
    <row r="8" spans="1:6">
      <c r="A8" s="3">
        <v>2</v>
      </c>
      <c r="B8" s="18" t="s">
        <v>113</v>
      </c>
      <c r="C8" s="3" t="s">
        <v>47</v>
      </c>
      <c r="D8" s="3">
        <v>8</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1.131</v>
      </c>
      <c r="E11" s="3"/>
      <c r="F11" s="12"/>
    </row>
    <row r="12" spans="1:6">
      <c r="A12" s="28">
        <v>6</v>
      </c>
      <c r="B12" s="18" t="s">
        <v>123</v>
      </c>
      <c r="C12" s="3" t="s">
        <v>52</v>
      </c>
      <c r="D12" s="3">
        <v>60</v>
      </c>
      <c r="E12" s="3"/>
      <c r="F12" s="12"/>
    </row>
    <row r="13" spans="1:6">
      <c r="A13" s="28">
        <v>7</v>
      </c>
      <c r="B13" s="18" t="s">
        <v>130</v>
      </c>
      <c r="C13" s="3" t="s">
        <v>46</v>
      </c>
      <c r="D13" s="3">
        <f>D16*0.78</f>
        <v>12.48</v>
      </c>
      <c r="E13" s="3"/>
      <c r="F13" s="12"/>
    </row>
    <row r="14" spans="1:6">
      <c r="A14" s="28">
        <v>8</v>
      </c>
      <c r="B14" s="18" t="s">
        <v>120</v>
      </c>
      <c r="C14" s="3" t="s">
        <v>119</v>
      </c>
      <c r="D14" s="3">
        <f>197*2+4*4</f>
        <v>410</v>
      </c>
      <c r="E14" s="3"/>
      <c r="F14" s="12"/>
    </row>
    <row r="15" spans="1:6">
      <c r="A15" s="28">
        <v>9</v>
      </c>
      <c r="B15" s="21" t="s">
        <v>121</v>
      </c>
      <c r="C15" s="3" t="s">
        <v>51</v>
      </c>
      <c r="D15" s="3">
        <v>654</v>
      </c>
      <c r="E15" s="3"/>
      <c r="F15" s="12"/>
    </row>
    <row r="16" spans="1:6" ht="30">
      <c r="A16" s="28">
        <v>10</v>
      </c>
      <c r="B16" s="18" t="s">
        <v>122</v>
      </c>
      <c r="C16" s="3" t="s">
        <v>115</v>
      </c>
      <c r="D16" s="3">
        <v>16</v>
      </c>
      <c r="E16" s="3"/>
      <c r="F16" s="12"/>
    </row>
    <row r="17" spans="1:6">
      <c r="A17" s="28">
        <v>11</v>
      </c>
      <c r="B17" s="18" t="s">
        <v>124</v>
      </c>
      <c r="C17" s="3" t="s">
        <v>118</v>
      </c>
      <c r="D17" s="3">
        <f>D11+(D9*2.5)</f>
        <v>2.331</v>
      </c>
      <c r="E17" s="3"/>
      <c r="F17" s="12"/>
    </row>
    <row r="18" spans="1:6">
      <c r="A18" s="28">
        <v>12</v>
      </c>
      <c r="B18" s="21" t="s">
        <v>125</v>
      </c>
      <c r="C18" s="3" t="s">
        <v>118</v>
      </c>
      <c r="D18" s="3">
        <f>D17</f>
        <v>2.331</v>
      </c>
      <c r="E18" s="3"/>
      <c r="F18" s="12"/>
    </row>
    <row r="19" spans="1:6">
      <c r="A19" s="28">
        <v>13</v>
      </c>
      <c r="B19" s="18" t="s">
        <v>127</v>
      </c>
      <c r="C19" s="3" t="s">
        <v>128</v>
      </c>
      <c r="D19" s="3">
        <v>50</v>
      </c>
      <c r="E19" s="3"/>
      <c r="F19" s="12"/>
    </row>
    <row r="20" spans="1:6">
      <c r="A20" s="28">
        <v>14</v>
      </c>
      <c r="B20" s="18" t="s">
        <v>386</v>
      </c>
      <c r="C20" s="28" t="s">
        <v>118</v>
      </c>
      <c r="D20" s="28">
        <f>D11</f>
        <v>1.131</v>
      </c>
      <c r="E20" s="28"/>
      <c r="F20" s="12"/>
    </row>
    <row r="21" spans="1:6">
      <c r="A21" s="28">
        <v>15</v>
      </c>
      <c r="B21" s="18" t="s">
        <v>150</v>
      </c>
      <c r="C21" s="6" t="s">
        <v>51</v>
      </c>
      <c r="D21" s="3">
        <v>2</v>
      </c>
      <c r="E21" s="3"/>
      <c r="F21" s="12"/>
    </row>
    <row r="22" spans="1:6">
      <c r="A22" s="28">
        <v>16</v>
      </c>
      <c r="B22" s="18" t="s">
        <v>129</v>
      </c>
      <c r="C22" s="3" t="s">
        <v>115</v>
      </c>
      <c r="D22" s="3">
        <f>D16</f>
        <v>16</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C5"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ht="15" customHeight="1">
      <c r="A1" s="61" t="s">
        <v>49</v>
      </c>
      <c r="B1" s="62"/>
      <c r="C1" s="62"/>
      <c r="D1" s="62"/>
      <c r="E1" s="62"/>
      <c r="F1" s="62"/>
    </row>
    <row r="2" spans="1:6">
      <c r="A2" s="61"/>
      <c r="B2" s="62"/>
      <c r="C2" s="62"/>
      <c r="D2" s="62"/>
      <c r="E2" s="62"/>
      <c r="F2" s="62"/>
    </row>
    <row r="3" spans="1:6">
      <c r="A3" s="63" t="s">
        <v>238</v>
      </c>
      <c r="B3" s="64"/>
      <c r="C3" s="64"/>
      <c r="D3" s="64"/>
      <c r="E3" s="64"/>
      <c r="F3" s="64"/>
    </row>
    <row r="4" spans="1:6">
      <c r="A4" s="63" t="s">
        <v>59</v>
      </c>
      <c r="B4" s="64"/>
      <c r="C4" s="64"/>
      <c r="D4" s="64"/>
      <c r="E4" s="64"/>
      <c r="F4" s="64"/>
    </row>
    <row r="5" spans="1:6">
      <c r="A5" s="65" t="s">
        <v>239</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2</v>
      </c>
      <c r="E7" s="3"/>
      <c r="F7" s="12"/>
    </row>
    <row r="8" spans="1:6">
      <c r="A8" s="3">
        <v>2</v>
      </c>
      <c r="B8" s="18" t="s">
        <v>113</v>
      </c>
      <c r="C8" s="3" t="s">
        <v>47</v>
      </c>
      <c r="D8" s="3">
        <v>4</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0.56699999999999995</v>
      </c>
      <c r="E11" s="3"/>
      <c r="F11" s="12"/>
    </row>
    <row r="12" spans="1:6">
      <c r="A12" s="28">
        <v>6</v>
      </c>
      <c r="B12" s="18" t="s">
        <v>123</v>
      </c>
      <c r="C12" s="3" t="s">
        <v>52</v>
      </c>
      <c r="D12" s="3">
        <v>35.4</v>
      </c>
      <c r="E12" s="3"/>
      <c r="F12" s="12"/>
    </row>
    <row r="13" spans="1:6">
      <c r="A13" s="28">
        <v>7</v>
      </c>
      <c r="B13" s="18" t="s">
        <v>130</v>
      </c>
      <c r="C13" s="3" t="s">
        <v>46</v>
      </c>
      <c r="D13" s="3">
        <f>D16*0.78</f>
        <v>6.24</v>
      </c>
      <c r="E13" s="3"/>
      <c r="F13" s="12"/>
    </row>
    <row r="14" spans="1:6">
      <c r="A14" s="28">
        <v>8</v>
      </c>
      <c r="B14" s="18" t="s">
        <v>120</v>
      </c>
      <c r="C14" s="3" t="s">
        <v>119</v>
      </c>
      <c r="D14" s="3">
        <f>101*2+4*4</f>
        <v>218</v>
      </c>
      <c r="E14" s="3"/>
      <c r="F14" s="12"/>
    </row>
    <row r="15" spans="1:6">
      <c r="A15" s="28">
        <v>9</v>
      </c>
      <c r="B15" s="21" t="s">
        <v>121</v>
      </c>
      <c r="C15" s="3" t="s">
        <v>51</v>
      </c>
      <c r="D15" s="3">
        <v>334</v>
      </c>
      <c r="E15" s="3"/>
      <c r="F15" s="12"/>
    </row>
    <row r="16" spans="1:6" ht="30">
      <c r="A16" s="28">
        <v>10</v>
      </c>
      <c r="B16" s="18" t="s">
        <v>122</v>
      </c>
      <c r="C16" s="3" t="s">
        <v>115</v>
      </c>
      <c r="D16" s="3">
        <v>8</v>
      </c>
      <c r="E16" s="3"/>
      <c r="F16" s="12"/>
    </row>
    <row r="17" spans="1:6">
      <c r="A17" s="28">
        <v>11</v>
      </c>
      <c r="B17" s="18" t="s">
        <v>124</v>
      </c>
      <c r="C17" s="3" t="s">
        <v>118</v>
      </c>
      <c r="D17" s="3">
        <f>D11+(D9*2.5)</f>
        <v>1.7669999999999999</v>
      </c>
      <c r="E17" s="3"/>
      <c r="F17" s="12"/>
    </row>
    <row r="18" spans="1:6">
      <c r="A18" s="28">
        <v>12</v>
      </c>
      <c r="B18" s="21" t="s">
        <v>125</v>
      </c>
      <c r="C18" s="3" t="s">
        <v>118</v>
      </c>
      <c r="D18" s="3">
        <f>D17</f>
        <v>1.7669999999999999</v>
      </c>
      <c r="E18" s="3"/>
      <c r="F18" s="12"/>
    </row>
    <row r="19" spans="1:6">
      <c r="A19" s="28">
        <v>13</v>
      </c>
      <c r="B19" s="18" t="s">
        <v>127</v>
      </c>
      <c r="C19" s="3" t="s">
        <v>128</v>
      </c>
      <c r="D19" s="3">
        <v>50</v>
      </c>
      <c r="E19" s="3"/>
      <c r="F19" s="12"/>
    </row>
    <row r="20" spans="1:6">
      <c r="A20" s="28">
        <v>14</v>
      </c>
      <c r="B20" s="18" t="s">
        <v>386</v>
      </c>
      <c r="C20" s="28" t="s">
        <v>118</v>
      </c>
      <c r="D20" s="28">
        <f>D11</f>
        <v>0.56699999999999995</v>
      </c>
      <c r="E20" s="28"/>
      <c r="F20" s="12"/>
    </row>
    <row r="21" spans="1:6">
      <c r="A21" s="28">
        <v>15</v>
      </c>
      <c r="B21" s="18" t="s">
        <v>150</v>
      </c>
      <c r="C21" s="6" t="s">
        <v>51</v>
      </c>
      <c r="D21" s="3">
        <v>2</v>
      </c>
      <c r="E21" s="3"/>
      <c r="F21" s="12"/>
    </row>
    <row r="22" spans="1:6">
      <c r="A22" s="28">
        <v>16</v>
      </c>
      <c r="B22" s="18" t="s">
        <v>129</v>
      </c>
      <c r="C22" s="3" t="s">
        <v>115</v>
      </c>
      <c r="D22" s="3">
        <f>D16</f>
        <v>8</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3"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240</v>
      </c>
      <c r="B3" s="64"/>
      <c r="C3" s="64"/>
      <c r="D3" s="64"/>
      <c r="E3" s="64"/>
      <c r="F3" s="64"/>
    </row>
    <row r="4" spans="1:6">
      <c r="A4" s="63" t="s">
        <v>59</v>
      </c>
      <c r="B4" s="64"/>
      <c r="C4" s="64"/>
      <c r="D4" s="64"/>
      <c r="E4" s="64"/>
      <c r="F4" s="64"/>
    </row>
    <row r="5" spans="1:6">
      <c r="A5" s="65" t="s">
        <v>241</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4</v>
      </c>
      <c r="E7" s="3"/>
      <c r="F7" s="12"/>
    </row>
    <row r="8" spans="1:6">
      <c r="A8" s="3">
        <v>2</v>
      </c>
      <c r="B8" s="18" t="s">
        <v>113</v>
      </c>
      <c r="C8" s="3" t="s">
        <v>47</v>
      </c>
      <c r="D8" s="3">
        <v>8</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1.131</v>
      </c>
      <c r="E11" s="3"/>
      <c r="F11" s="12"/>
    </row>
    <row r="12" spans="1:6">
      <c r="A12" s="28">
        <v>6</v>
      </c>
      <c r="B12" s="18" t="s">
        <v>123</v>
      </c>
      <c r="C12" s="3" t="s">
        <v>52</v>
      </c>
      <c r="D12" s="3">
        <v>60</v>
      </c>
      <c r="E12" s="3"/>
      <c r="F12" s="12"/>
    </row>
    <row r="13" spans="1:6">
      <c r="A13" s="28">
        <v>7</v>
      </c>
      <c r="B13" s="18" t="s">
        <v>130</v>
      </c>
      <c r="C13" s="3" t="s">
        <v>46</v>
      </c>
      <c r="D13" s="3">
        <f>D16*0.78</f>
        <v>12.48</v>
      </c>
      <c r="E13" s="3"/>
      <c r="F13" s="12"/>
    </row>
    <row r="14" spans="1:6">
      <c r="A14" s="28">
        <v>8</v>
      </c>
      <c r="B14" s="18" t="s">
        <v>120</v>
      </c>
      <c r="C14" s="3" t="s">
        <v>119</v>
      </c>
      <c r="D14" s="3">
        <f>197*2+4*4</f>
        <v>410</v>
      </c>
      <c r="E14" s="3"/>
      <c r="F14" s="12"/>
    </row>
    <row r="15" spans="1:6">
      <c r="A15" s="28">
        <v>9</v>
      </c>
      <c r="B15" s="21" t="s">
        <v>121</v>
      </c>
      <c r="C15" s="3" t="s">
        <v>51</v>
      </c>
      <c r="D15" s="3">
        <v>654</v>
      </c>
      <c r="E15" s="3"/>
      <c r="F15" s="12"/>
    </row>
    <row r="16" spans="1:6" ht="30">
      <c r="A16" s="28">
        <v>10</v>
      </c>
      <c r="B16" s="18" t="s">
        <v>122</v>
      </c>
      <c r="C16" s="3" t="s">
        <v>115</v>
      </c>
      <c r="D16" s="3">
        <v>16</v>
      </c>
      <c r="E16" s="3"/>
      <c r="F16" s="12"/>
    </row>
    <row r="17" spans="1:6">
      <c r="A17" s="28">
        <v>11</v>
      </c>
      <c r="B17" s="18" t="s">
        <v>124</v>
      </c>
      <c r="C17" s="3" t="s">
        <v>118</v>
      </c>
      <c r="D17" s="3">
        <f>D11+(D9*2.5)</f>
        <v>2.331</v>
      </c>
      <c r="E17" s="3"/>
      <c r="F17" s="12"/>
    </row>
    <row r="18" spans="1:6">
      <c r="A18" s="28">
        <v>12</v>
      </c>
      <c r="B18" s="21" t="s">
        <v>125</v>
      </c>
      <c r="C18" s="3" t="s">
        <v>118</v>
      </c>
      <c r="D18" s="3">
        <f>D17</f>
        <v>2.331</v>
      </c>
      <c r="E18" s="3"/>
      <c r="F18" s="12"/>
    </row>
    <row r="19" spans="1:6">
      <c r="A19" s="28">
        <v>13</v>
      </c>
      <c r="B19" s="18" t="s">
        <v>127</v>
      </c>
      <c r="C19" s="3" t="s">
        <v>128</v>
      </c>
      <c r="D19" s="3">
        <v>50</v>
      </c>
      <c r="E19" s="3"/>
      <c r="F19" s="12"/>
    </row>
    <row r="20" spans="1:6">
      <c r="A20" s="28">
        <v>14</v>
      </c>
      <c r="B20" s="18" t="s">
        <v>386</v>
      </c>
      <c r="C20" s="28" t="s">
        <v>118</v>
      </c>
      <c r="D20" s="28">
        <f>D11</f>
        <v>1.131</v>
      </c>
      <c r="E20" s="28"/>
      <c r="F20" s="12"/>
    </row>
    <row r="21" spans="1:6">
      <c r="A21" s="28">
        <v>15</v>
      </c>
      <c r="B21" s="18" t="s">
        <v>150</v>
      </c>
      <c r="C21" s="6" t="s">
        <v>51</v>
      </c>
      <c r="D21" s="3">
        <v>2</v>
      </c>
      <c r="E21" s="3"/>
      <c r="F21" s="12"/>
    </row>
    <row r="22" spans="1:6">
      <c r="A22" s="28">
        <v>16</v>
      </c>
      <c r="B22" s="18" t="s">
        <v>129</v>
      </c>
      <c r="C22" s="3" t="s">
        <v>115</v>
      </c>
      <c r="D22" s="3">
        <f>D16</f>
        <v>16</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G23"/>
  <sheetViews>
    <sheetView topLeftCell="A3"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7" ht="15" customHeight="1">
      <c r="A1" s="61" t="s">
        <v>49</v>
      </c>
      <c r="B1" s="62"/>
      <c r="C1" s="62"/>
      <c r="D1" s="62"/>
      <c r="E1" s="62"/>
      <c r="F1" s="62"/>
      <c r="G1" t="s">
        <v>292</v>
      </c>
    </row>
    <row r="2" spans="1:7">
      <c r="A2" s="61"/>
      <c r="B2" s="62"/>
      <c r="C2" s="62"/>
      <c r="D2" s="62"/>
      <c r="E2" s="62"/>
      <c r="F2" s="62"/>
    </row>
    <row r="3" spans="1:7">
      <c r="A3" s="63" t="s">
        <v>242</v>
      </c>
      <c r="B3" s="64"/>
      <c r="C3" s="64"/>
      <c r="D3" s="64"/>
      <c r="E3" s="64"/>
      <c r="F3" s="64"/>
    </row>
    <row r="4" spans="1:7">
      <c r="A4" s="63" t="s">
        <v>59</v>
      </c>
      <c r="B4" s="64"/>
      <c r="C4" s="64"/>
      <c r="D4" s="64"/>
      <c r="E4" s="64"/>
      <c r="F4" s="64"/>
    </row>
    <row r="5" spans="1:7">
      <c r="A5" s="65" t="s">
        <v>243</v>
      </c>
      <c r="B5" s="66"/>
      <c r="C5" s="66"/>
      <c r="D5" s="66"/>
      <c r="E5" s="66"/>
      <c r="F5" s="66"/>
    </row>
    <row r="6" spans="1:7">
      <c r="A6" s="13" t="s">
        <v>1</v>
      </c>
      <c r="B6" s="14" t="s">
        <v>37</v>
      </c>
      <c r="C6" s="14" t="s">
        <v>38</v>
      </c>
      <c r="D6" s="15" t="s">
        <v>39</v>
      </c>
      <c r="E6" s="14" t="s">
        <v>40</v>
      </c>
      <c r="F6" s="14" t="s">
        <v>41</v>
      </c>
    </row>
    <row r="7" spans="1:7">
      <c r="A7" s="3">
        <v>1</v>
      </c>
      <c r="B7" s="18" t="s">
        <v>112</v>
      </c>
      <c r="C7" s="19" t="s">
        <v>47</v>
      </c>
      <c r="D7" s="3">
        <f>D8*0.5*1*1</f>
        <v>2</v>
      </c>
      <c r="E7" s="3"/>
      <c r="F7" s="12"/>
    </row>
    <row r="8" spans="1:7">
      <c r="A8" s="3">
        <v>2</v>
      </c>
      <c r="B8" s="18" t="s">
        <v>113</v>
      </c>
      <c r="C8" s="3" t="s">
        <v>47</v>
      </c>
      <c r="D8" s="3">
        <v>4</v>
      </c>
      <c r="E8" s="3"/>
      <c r="F8" s="12"/>
    </row>
    <row r="9" spans="1:7">
      <c r="A9" s="28">
        <v>3</v>
      </c>
      <c r="B9" s="18" t="s">
        <v>114</v>
      </c>
      <c r="C9" s="3" t="s">
        <v>47</v>
      </c>
      <c r="D9" s="3">
        <v>0.48</v>
      </c>
      <c r="E9" s="3"/>
      <c r="F9" s="12"/>
    </row>
    <row r="10" spans="1:7">
      <c r="A10" s="28">
        <v>4</v>
      </c>
      <c r="B10" s="21" t="s">
        <v>116</v>
      </c>
      <c r="C10" s="3" t="s">
        <v>115</v>
      </c>
      <c r="D10" s="3">
        <f>8.76*2</f>
        <v>17.52</v>
      </c>
      <c r="E10" s="3"/>
      <c r="F10" s="12"/>
    </row>
    <row r="11" spans="1:7">
      <c r="A11" s="28">
        <v>5</v>
      </c>
      <c r="B11" s="18" t="s">
        <v>117</v>
      </c>
      <c r="C11" s="3" t="s">
        <v>118</v>
      </c>
      <c r="D11" s="3">
        <v>0.45100000000000001</v>
      </c>
      <c r="E11" s="3"/>
      <c r="F11" s="12"/>
    </row>
    <row r="12" spans="1:7">
      <c r="A12" s="28">
        <v>6</v>
      </c>
      <c r="B12" s="18" t="s">
        <v>123</v>
      </c>
      <c r="C12" s="3" t="s">
        <v>52</v>
      </c>
      <c r="D12" s="3">
        <v>27</v>
      </c>
      <c r="E12" s="3"/>
      <c r="F12" s="12"/>
    </row>
    <row r="13" spans="1:7">
      <c r="A13" s="28">
        <v>7</v>
      </c>
      <c r="B13" s="18" t="s">
        <v>130</v>
      </c>
      <c r="C13" s="3" t="s">
        <v>46</v>
      </c>
      <c r="D13" s="3">
        <f>D16*0.78</f>
        <v>4.68</v>
      </c>
      <c r="E13" s="3"/>
      <c r="F13" s="12"/>
    </row>
    <row r="14" spans="1:7">
      <c r="A14" s="28">
        <v>8</v>
      </c>
      <c r="B14" s="18" t="s">
        <v>120</v>
      </c>
      <c r="C14" s="3" t="s">
        <v>119</v>
      </c>
      <c r="D14" s="3">
        <f>81*2+4*4</f>
        <v>178</v>
      </c>
      <c r="E14" s="3"/>
      <c r="F14" s="12"/>
    </row>
    <row r="15" spans="1:7">
      <c r="A15" s="28">
        <v>9</v>
      </c>
      <c r="B15" s="21" t="s">
        <v>121</v>
      </c>
      <c r="C15" s="3" t="s">
        <v>51</v>
      </c>
      <c r="D15" s="3">
        <v>262</v>
      </c>
      <c r="E15" s="3"/>
      <c r="F15" s="12"/>
    </row>
    <row r="16" spans="1:7" ht="30">
      <c r="A16" s="28">
        <v>10</v>
      </c>
      <c r="B16" s="18" t="s">
        <v>122</v>
      </c>
      <c r="C16" s="3" t="s">
        <v>115</v>
      </c>
      <c r="D16" s="3">
        <v>6</v>
      </c>
      <c r="E16" s="3"/>
      <c r="F16" s="12"/>
    </row>
    <row r="17" spans="1:6">
      <c r="A17" s="28">
        <v>11</v>
      </c>
      <c r="B17" s="18" t="s">
        <v>124</v>
      </c>
      <c r="C17" s="3" t="s">
        <v>118</v>
      </c>
      <c r="D17" s="3">
        <f>D11+(D9*2.5)</f>
        <v>1.651</v>
      </c>
      <c r="E17" s="3"/>
      <c r="F17" s="12"/>
    </row>
    <row r="18" spans="1:6">
      <c r="A18" s="28">
        <v>12</v>
      </c>
      <c r="B18" s="21" t="s">
        <v>125</v>
      </c>
      <c r="C18" s="3" t="s">
        <v>118</v>
      </c>
      <c r="D18" s="3">
        <f>D17</f>
        <v>1.651</v>
      </c>
      <c r="E18" s="3"/>
      <c r="F18" s="12"/>
    </row>
    <row r="19" spans="1:6">
      <c r="A19" s="28">
        <v>13</v>
      </c>
      <c r="B19" s="18" t="s">
        <v>127</v>
      </c>
      <c r="C19" s="3" t="s">
        <v>128</v>
      </c>
      <c r="D19" s="3">
        <v>50</v>
      </c>
      <c r="E19" s="3"/>
      <c r="F19" s="12"/>
    </row>
    <row r="20" spans="1:6">
      <c r="A20" s="28">
        <v>14</v>
      </c>
      <c r="B20" s="18" t="s">
        <v>386</v>
      </c>
      <c r="C20" s="28" t="s">
        <v>118</v>
      </c>
      <c r="D20" s="28">
        <f>D11</f>
        <v>0.45100000000000001</v>
      </c>
      <c r="E20" s="28"/>
      <c r="F20" s="12"/>
    </row>
    <row r="21" spans="1:6">
      <c r="A21" s="28">
        <v>15</v>
      </c>
      <c r="B21" s="18" t="s">
        <v>150</v>
      </c>
      <c r="C21" s="6" t="s">
        <v>51</v>
      </c>
      <c r="D21" s="3">
        <v>2</v>
      </c>
      <c r="E21" s="3"/>
      <c r="F21" s="12"/>
    </row>
    <row r="22" spans="1:6">
      <c r="A22" s="28">
        <v>16</v>
      </c>
      <c r="B22" s="18" t="s">
        <v>129</v>
      </c>
      <c r="C22" s="3" t="s">
        <v>115</v>
      </c>
      <c r="D22" s="3">
        <f>D16</f>
        <v>6</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3"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244</v>
      </c>
      <c r="B3" s="64"/>
      <c r="C3" s="64"/>
      <c r="D3" s="64"/>
      <c r="E3" s="64"/>
      <c r="F3" s="64"/>
    </row>
    <row r="4" spans="1:6">
      <c r="A4" s="63" t="s">
        <v>59</v>
      </c>
      <c r="B4" s="64"/>
      <c r="C4" s="64"/>
      <c r="D4" s="64"/>
      <c r="E4" s="64"/>
      <c r="F4" s="64"/>
    </row>
    <row r="5" spans="1:6">
      <c r="A5" s="65" t="s">
        <v>245</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2</v>
      </c>
      <c r="E7" s="3"/>
      <c r="F7" s="12"/>
    </row>
    <row r="8" spans="1:6">
      <c r="A8" s="3">
        <v>2</v>
      </c>
      <c r="B8" s="18" t="s">
        <v>113</v>
      </c>
      <c r="C8" s="3" t="s">
        <v>47</v>
      </c>
      <c r="D8" s="3">
        <v>4</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0.69599999999999995</v>
      </c>
      <c r="E11" s="3"/>
      <c r="F11" s="12"/>
    </row>
    <row r="12" spans="1:6">
      <c r="A12" s="28">
        <v>6</v>
      </c>
      <c r="B12" s="18" t="s">
        <v>123</v>
      </c>
      <c r="C12" s="3" t="s">
        <v>52</v>
      </c>
      <c r="D12" s="3">
        <v>44</v>
      </c>
      <c r="E12" s="3"/>
      <c r="F12" s="12"/>
    </row>
    <row r="13" spans="1:6">
      <c r="A13" s="28">
        <v>7</v>
      </c>
      <c r="B13" s="18" t="s">
        <v>130</v>
      </c>
      <c r="C13" s="3" t="s">
        <v>46</v>
      </c>
      <c r="D13" s="3">
        <f>D16*0.78</f>
        <v>7.8000000000000007</v>
      </c>
      <c r="E13" s="3"/>
      <c r="F13" s="12"/>
    </row>
    <row r="14" spans="1:6">
      <c r="A14" s="28">
        <v>8</v>
      </c>
      <c r="B14" s="18" t="s">
        <v>120</v>
      </c>
      <c r="C14" s="3" t="s">
        <v>119</v>
      </c>
      <c r="D14" s="3">
        <f>125*2+4*4</f>
        <v>266</v>
      </c>
      <c r="E14" s="3"/>
      <c r="F14" s="12"/>
    </row>
    <row r="15" spans="1:6">
      <c r="A15" s="28">
        <v>9</v>
      </c>
      <c r="B15" s="21" t="s">
        <v>121</v>
      </c>
      <c r="C15" s="3" t="s">
        <v>51</v>
      </c>
      <c r="D15" s="3">
        <v>414</v>
      </c>
      <c r="E15" s="3"/>
      <c r="F15" s="12"/>
    </row>
    <row r="16" spans="1:6" ht="30">
      <c r="A16" s="28">
        <v>10</v>
      </c>
      <c r="B16" s="18" t="s">
        <v>122</v>
      </c>
      <c r="C16" s="3" t="s">
        <v>115</v>
      </c>
      <c r="D16" s="3">
        <v>10</v>
      </c>
      <c r="E16" s="3"/>
      <c r="F16" s="12"/>
    </row>
    <row r="17" spans="1:6">
      <c r="A17" s="28">
        <v>11</v>
      </c>
      <c r="B17" s="18" t="s">
        <v>124</v>
      </c>
      <c r="C17" s="3" t="s">
        <v>118</v>
      </c>
      <c r="D17" s="3">
        <f>D11+(D9*2.5)</f>
        <v>1.8959999999999999</v>
      </c>
      <c r="E17" s="3"/>
      <c r="F17" s="12"/>
    </row>
    <row r="18" spans="1:6">
      <c r="A18" s="28">
        <v>12</v>
      </c>
      <c r="B18" s="21" t="s">
        <v>125</v>
      </c>
      <c r="C18" s="3" t="s">
        <v>118</v>
      </c>
      <c r="D18" s="3">
        <f>D17</f>
        <v>1.8959999999999999</v>
      </c>
      <c r="E18" s="3"/>
      <c r="F18" s="12"/>
    </row>
    <row r="19" spans="1:6">
      <c r="A19" s="28">
        <v>13</v>
      </c>
      <c r="B19" s="18" t="s">
        <v>127</v>
      </c>
      <c r="C19" s="3" t="s">
        <v>128</v>
      </c>
      <c r="D19" s="3">
        <v>50</v>
      </c>
      <c r="E19" s="3"/>
      <c r="F19" s="12"/>
    </row>
    <row r="20" spans="1:6">
      <c r="A20" s="28">
        <v>14</v>
      </c>
      <c r="B20" s="18" t="s">
        <v>386</v>
      </c>
      <c r="C20" s="28" t="s">
        <v>118</v>
      </c>
      <c r="D20" s="28">
        <f>D11</f>
        <v>0.69599999999999995</v>
      </c>
      <c r="E20" s="28"/>
      <c r="F20" s="12"/>
    </row>
    <row r="21" spans="1:6">
      <c r="A21" s="28">
        <v>15</v>
      </c>
      <c r="B21" s="18" t="s">
        <v>150</v>
      </c>
      <c r="C21" s="6" t="s">
        <v>51</v>
      </c>
      <c r="D21" s="3">
        <v>2</v>
      </c>
      <c r="E21" s="3"/>
      <c r="F21" s="12"/>
    </row>
    <row r="22" spans="1:6">
      <c r="A22" s="28">
        <v>16</v>
      </c>
      <c r="B22" s="18" t="s">
        <v>129</v>
      </c>
      <c r="C22" s="3" t="s">
        <v>115</v>
      </c>
      <c r="D22" s="3">
        <f>D16</f>
        <v>10</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4" workbookViewId="0">
      <selection activeCell="J11" sqref="J11"/>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246</v>
      </c>
      <c r="B3" s="64"/>
      <c r="C3" s="64"/>
      <c r="D3" s="64"/>
      <c r="E3" s="64"/>
      <c r="F3" s="64"/>
    </row>
    <row r="4" spans="1:6">
      <c r="A4" s="63" t="s">
        <v>59</v>
      </c>
      <c r="B4" s="64"/>
      <c r="C4" s="64"/>
      <c r="D4" s="64"/>
      <c r="E4" s="64"/>
      <c r="F4" s="64"/>
    </row>
    <row r="5" spans="1:6">
      <c r="A5" s="65" t="s">
        <v>250</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2</v>
      </c>
      <c r="E7" s="3"/>
      <c r="F7" s="12"/>
    </row>
    <row r="8" spans="1:6">
      <c r="A8" s="3">
        <v>2</v>
      </c>
      <c r="B8" s="18" t="s">
        <v>113</v>
      </c>
      <c r="C8" s="3" t="s">
        <v>47</v>
      </c>
      <c r="D8" s="3">
        <v>4</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0.69599999999999995</v>
      </c>
      <c r="E11" s="3"/>
      <c r="F11" s="12"/>
    </row>
    <row r="12" spans="1:6">
      <c r="A12" s="28">
        <v>6</v>
      </c>
      <c r="B12" s="18" t="s">
        <v>123</v>
      </c>
      <c r="C12" s="3" t="s">
        <v>52</v>
      </c>
      <c r="D12" s="3">
        <v>44</v>
      </c>
      <c r="E12" s="3"/>
      <c r="F12" s="12"/>
    </row>
    <row r="13" spans="1:6">
      <c r="A13" s="28">
        <v>7</v>
      </c>
      <c r="B13" s="18" t="s">
        <v>130</v>
      </c>
      <c r="C13" s="3" t="s">
        <v>46</v>
      </c>
      <c r="D13" s="3">
        <f>D16*0.78</f>
        <v>7.8000000000000007</v>
      </c>
      <c r="E13" s="3"/>
      <c r="F13" s="12"/>
    </row>
    <row r="14" spans="1:6">
      <c r="A14" s="28">
        <v>8</v>
      </c>
      <c r="B14" s="18" t="s">
        <v>120</v>
      </c>
      <c r="C14" s="3" t="s">
        <v>119</v>
      </c>
      <c r="D14" s="3">
        <f>125*2+4*4</f>
        <v>266</v>
      </c>
      <c r="E14" s="3"/>
      <c r="F14" s="12"/>
    </row>
    <row r="15" spans="1:6">
      <c r="A15" s="28">
        <v>9</v>
      </c>
      <c r="B15" s="21" t="s">
        <v>121</v>
      </c>
      <c r="C15" s="3" t="s">
        <v>51</v>
      </c>
      <c r="D15" s="3">
        <v>414</v>
      </c>
      <c r="E15" s="3"/>
      <c r="F15" s="12"/>
    </row>
    <row r="16" spans="1:6" ht="30">
      <c r="A16" s="28">
        <v>10</v>
      </c>
      <c r="B16" s="18" t="s">
        <v>122</v>
      </c>
      <c r="C16" s="3" t="s">
        <v>115</v>
      </c>
      <c r="D16" s="3">
        <v>10</v>
      </c>
      <c r="E16" s="3"/>
      <c r="F16" s="12"/>
    </row>
    <row r="17" spans="1:6">
      <c r="A17" s="28">
        <v>11</v>
      </c>
      <c r="B17" s="18" t="s">
        <v>124</v>
      </c>
      <c r="C17" s="3" t="s">
        <v>118</v>
      </c>
      <c r="D17" s="3">
        <f>D11+(D9*2.5)</f>
        <v>1.8959999999999999</v>
      </c>
      <c r="E17" s="3"/>
      <c r="F17" s="12"/>
    </row>
    <row r="18" spans="1:6">
      <c r="A18" s="28">
        <v>12</v>
      </c>
      <c r="B18" s="21" t="s">
        <v>125</v>
      </c>
      <c r="C18" s="3" t="s">
        <v>118</v>
      </c>
      <c r="D18" s="3">
        <f>D17</f>
        <v>1.8959999999999999</v>
      </c>
      <c r="E18" s="3"/>
      <c r="F18" s="12"/>
    </row>
    <row r="19" spans="1:6">
      <c r="A19" s="28">
        <v>13</v>
      </c>
      <c r="B19" s="18" t="s">
        <v>127</v>
      </c>
      <c r="C19" s="3" t="s">
        <v>128</v>
      </c>
      <c r="D19" s="3">
        <v>50</v>
      </c>
      <c r="E19" s="3"/>
      <c r="F19" s="12"/>
    </row>
    <row r="20" spans="1:6">
      <c r="A20" s="28">
        <v>14</v>
      </c>
      <c r="B20" s="18" t="s">
        <v>386</v>
      </c>
      <c r="C20" s="28" t="s">
        <v>118</v>
      </c>
      <c r="D20" s="28">
        <f>D11</f>
        <v>0.69599999999999995</v>
      </c>
      <c r="E20" s="28"/>
      <c r="F20" s="12"/>
    </row>
    <row r="21" spans="1:6">
      <c r="A21" s="28">
        <v>15</v>
      </c>
      <c r="B21" s="18" t="s">
        <v>150</v>
      </c>
      <c r="C21" s="6" t="s">
        <v>51</v>
      </c>
      <c r="D21" s="3">
        <v>2</v>
      </c>
      <c r="E21" s="3"/>
      <c r="F21" s="12"/>
    </row>
    <row r="22" spans="1:6">
      <c r="A22" s="28">
        <v>16</v>
      </c>
      <c r="B22" s="18" t="s">
        <v>129</v>
      </c>
      <c r="C22" s="3" t="s">
        <v>115</v>
      </c>
      <c r="D22" s="3">
        <f>D16</f>
        <v>10</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4" workbookViewId="0">
      <selection activeCell="B20" sqref="B20"/>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247</v>
      </c>
      <c r="B3" s="64"/>
      <c r="C3" s="64"/>
      <c r="D3" s="64"/>
      <c r="E3" s="64"/>
      <c r="F3" s="64"/>
    </row>
    <row r="4" spans="1:6">
      <c r="A4" s="63" t="s">
        <v>59</v>
      </c>
      <c r="B4" s="64"/>
      <c r="C4" s="64"/>
      <c r="D4" s="64"/>
      <c r="E4" s="64"/>
      <c r="F4" s="64"/>
    </row>
    <row r="5" spans="1:6">
      <c r="A5" s="65" t="s">
        <v>251</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2</v>
      </c>
      <c r="E7" s="3"/>
      <c r="F7" s="12"/>
    </row>
    <row r="8" spans="1:6">
      <c r="A8" s="3">
        <v>2</v>
      </c>
      <c r="B8" s="18" t="s">
        <v>113</v>
      </c>
      <c r="C8" s="3" t="s">
        <v>47</v>
      </c>
      <c r="D8" s="3">
        <v>4</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0.69599999999999995</v>
      </c>
      <c r="E11" s="3"/>
      <c r="F11" s="12"/>
    </row>
    <row r="12" spans="1:6">
      <c r="A12" s="28">
        <v>6</v>
      </c>
      <c r="B12" s="18" t="s">
        <v>123</v>
      </c>
      <c r="C12" s="3" t="s">
        <v>52</v>
      </c>
      <c r="D12" s="3">
        <v>44</v>
      </c>
      <c r="E12" s="3"/>
      <c r="F12" s="12"/>
    </row>
    <row r="13" spans="1:6">
      <c r="A13" s="28">
        <v>7</v>
      </c>
      <c r="B13" s="18" t="s">
        <v>130</v>
      </c>
      <c r="C13" s="3" t="s">
        <v>46</v>
      </c>
      <c r="D13" s="3">
        <f>D16*0.78</f>
        <v>7.8000000000000007</v>
      </c>
      <c r="E13" s="3"/>
      <c r="F13" s="12"/>
    </row>
    <row r="14" spans="1:6">
      <c r="A14" s="28">
        <v>8</v>
      </c>
      <c r="B14" s="18" t="s">
        <v>120</v>
      </c>
      <c r="C14" s="3" t="s">
        <v>119</v>
      </c>
      <c r="D14" s="3">
        <f>125*2+4*4</f>
        <v>266</v>
      </c>
      <c r="E14" s="3"/>
      <c r="F14" s="12"/>
    </row>
    <row r="15" spans="1:6">
      <c r="A15" s="28">
        <v>9</v>
      </c>
      <c r="B15" s="21" t="s">
        <v>121</v>
      </c>
      <c r="C15" s="3" t="s">
        <v>51</v>
      </c>
      <c r="D15" s="3">
        <v>414</v>
      </c>
      <c r="E15" s="3"/>
      <c r="F15" s="12"/>
    </row>
    <row r="16" spans="1:6" ht="30">
      <c r="A16" s="28">
        <v>10</v>
      </c>
      <c r="B16" s="18" t="s">
        <v>122</v>
      </c>
      <c r="C16" s="3" t="s">
        <v>115</v>
      </c>
      <c r="D16" s="3">
        <v>10</v>
      </c>
      <c r="E16" s="3"/>
      <c r="F16" s="12"/>
    </row>
    <row r="17" spans="1:6">
      <c r="A17" s="28">
        <v>11</v>
      </c>
      <c r="B17" s="18" t="s">
        <v>124</v>
      </c>
      <c r="C17" s="3" t="s">
        <v>118</v>
      </c>
      <c r="D17" s="3">
        <f>D11+(D9*2.5)</f>
        <v>1.8959999999999999</v>
      </c>
      <c r="E17" s="3"/>
      <c r="F17" s="12"/>
    </row>
    <row r="18" spans="1:6">
      <c r="A18" s="28">
        <v>12</v>
      </c>
      <c r="B18" s="21" t="s">
        <v>125</v>
      </c>
      <c r="C18" s="3" t="s">
        <v>118</v>
      </c>
      <c r="D18" s="3">
        <f>D17</f>
        <v>1.8959999999999999</v>
      </c>
      <c r="E18" s="3"/>
      <c r="F18" s="12"/>
    </row>
    <row r="19" spans="1:6">
      <c r="A19" s="28">
        <v>13</v>
      </c>
      <c r="B19" s="18" t="s">
        <v>127</v>
      </c>
      <c r="C19" s="3" t="s">
        <v>128</v>
      </c>
      <c r="D19" s="3">
        <v>50</v>
      </c>
      <c r="E19" s="3"/>
      <c r="F19" s="12"/>
    </row>
    <row r="20" spans="1:6">
      <c r="A20" s="28">
        <v>14</v>
      </c>
      <c r="B20" s="18" t="s">
        <v>386</v>
      </c>
      <c r="C20" s="28" t="s">
        <v>118</v>
      </c>
      <c r="D20" s="28">
        <f>D11</f>
        <v>0.69599999999999995</v>
      </c>
      <c r="E20" s="28"/>
      <c r="F20" s="12"/>
    </row>
    <row r="21" spans="1:6">
      <c r="A21" s="28">
        <v>15</v>
      </c>
      <c r="B21" s="18" t="s">
        <v>150</v>
      </c>
      <c r="C21" s="6" t="s">
        <v>51</v>
      </c>
      <c r="D21" s="3">
        <v>2</v>
      </c>
      <c r="E21" s="3"/>
      <c r="F21" s="12"/>
    </row>
    <row r="22" spans="1:6">
      <c r="A22" s="28">
        <v>16</v>
      </c>
      <c r="B22" s="18" t="s">
        <v>129</v>
      </c>
      <c r="C22" s="3" t="s">
        <v>115</v>
      </c>
      <c r="D22" s="3">
        <f>D16</f>
        <v>10</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D8"/>
  <sheetViews>
    <sheetView zoomScaleNormal="100" workbookViewId="0">
      <selection activeCell="E18" sqref="E18"/>
    </sheetView>
  </sheetViews>
  <sheetFormatPr defaultRowHeight="15"/>
  <cols>
    <col min="1" max="1" width="5.7109375" customWidth="1"/>
    <col min="2" max="2" width="14.7109375" customWidth="1"/>
    <col min="3" max="3" width="66.5703125" bestFit="1" customWidth="1"/>
    <col min="4" max="4" width="26.7109375" customWidth="1"/>
  </cols>
  <sheetData>
    <row r="1" spans="1:4">
      <c r="A1" s="48" t="s">
        <v>49</v>
      </c>
      <c r="B1" s="48"/>
      <c r="C1" s="48"/>
      <c r="D1" s="48"/>
    </row>
    <row r="2" spans="1:4">
      <c r="A2" s="49" t="s">
        <v>25</v>
      </c>
      <c r="B2" s="49"/>
      <c r="C2" s="49"/>
      <c r="D2" s="49"/>
    </row>
    <row r="3" spans="1:4">
      <c r="A3" s="50" t="s">
        <v>1</v>
      </c>
      <c r="B3" s="50" t="s">
        <v>14</v>
      </c>
      <c r="C3" s="51" t="s">
        <v>2</v>
      </c>
      <c r="D3" s="53" t="s">
        <v>3</v>
      </c>
    </row>
    <row r="4" spans="1:4">
      <c r="A4" s="50"/>
      <c r="B4" s="50"/>
      <c r="C4" s="52"/>
      <c r="D4" s="53"/>
    </row>
    <row r="5" spans="1:4">
      <c r="A5" s="2" t="s">
        <v>5</v>
      </c>
      <c r="B5" s="2" t="s">
        <v>15</v>
      </c>
      <c r="C5" s="2" t="s">
        <v>48</v>
      </c>
      <c r="D5" s="12">
        <f>'ო.ბ-1'!D34</f>
        <v>0</v>
      </c>
    </row>
    <row r="6" spans="1:4">
      <c r="A6" s="2">
        <v>2</v>
      </c>
      <c r="B6" s="2" t="s">
        <v>16</v>
      </c>
      <c r="C6" s="2" t="s">
        <v>59</v>
      </c>
      <c r="D6" s="12">
        <f>'ო.ბ-2'!D49</f>
        <v>0</v>
      </c>
    </row>
    <row r="7" spans="1:4">
      <c r="A7" s="2">
        <v>3</v>
      </c>
      <c r="B7" s="2" t="s">
        <v>17</v>
      </c>
      <c r="C7" s="2" t="s">
        <v>60</v>
      </c>
      <c r="D7" s="12">
        <f>'ო.ბ-3'!D33</f>
        <v>0</v>
      </c>
    </row>
    <row r="8" spans="1:4">
      <c r="A8" s="2"/>
      <c r="B8" s="2"/>
      <c r="C8" s="4" t="s">
        <v>18</v>
      </c>
      <c r="D8" s="16">
        <f>SUM(D5:D7)</f>
        <v>0</v>
      </c>
    </row>
  </sheetData>
  <mergeCells count="6">
    <mergeCell ref="A1:D1"/>
    <mergeCell ref="A2:D2"/>
    <mergeCell ref="A3:A4"/>
    <mergeCell ref="B3:B4"/>
    <mergeCell ref="C3:C4"/>
    <mergeCell ref="D3:D4"/>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B4" workbookViewId="0">
      <selection activeCell="B20" sqref="B20"/>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248</v>
      </c>
      <c r="B3" s="64"/>
      <c r="C3" s="64"/>
      <c r="D3" s="64"/>
      <c r="E3" s="64"/>
      <c r="F3" s="64"/>
    </row>
    <row r="4" spans="1:6">
      <c r="A4" s="63" t="s">
        <v>59</v>
      </c>
      <c r="B4" s="64"/>
      <c r="C4" s="64"/>
      <c r="D4" s="64"/>
      <c r="E4" s="64"/>
      <c r="F4" s="64"/>
    </row>
    <row r="5" spans="1:6">
      <c r="A5" s="65" t="s">
        <v>252</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2</v>
      </c>
      <c r="E7" s="3"/>
      <c r="F7" s="12"/>
    </row>
    <row r="8" spans="1:6">
      <c r="A8" s="3">
        <v>2</v>
      </c>
      <c r="B8" s="18" t="s">
        <v>113</v>
      </c>
      <c r="C8" s="3" t="s">
        <v>47</v>
      </c>
      <c r="D8" s="3">
        <v>4</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0.69599999999999995</v>
      </c>
      <c r="E11" s="3"/>
      <c r="F11" s="12"/>
    </row>
    <row r="12" spans="1:6">
      <c r="A12" s="28">
        <v>6</v>
      </c>
      <c r="B12" s="18" t="s">
        <v>123</v>
      </c>
      <c r="C12" s="3" t="s">
        <v>52</v>
      </c>
      <c r="D12" s="3">
        <v>44</v>
      </c>
      <c r="E12" s="3"/>
      <c r="F12" s="12"/>
    </row>
    <row r="13" spans="1:6">
      <c r="A13" s="28">
        <v>7</v>
      </c>
      <c r="B13" s="18" t="s">
        <v>130</v>
      </c>
      <c r="C13" s="3" t="s">
        <v>46</v>
      </c>
      <c r="D13" s="3">
        <f>D16*0.78</f>
        <v>7.8000000000000007</v>
      </c>
      <c r="E13" s="3"/>
      <c r="F13" s="12"/>
    </row>
    <row r="14" spans="1:6">
      <c r="A14" s="28">
        <v>8</v>
      </c>
      <c r="B14" s="18" t="s">
        <v>120</v>
      </c>
      <c r="C14" s="3" t="s">
        <v>119</v>
      </c>
      <c r="D14" s="3">
        <f>125*2+4*4</f>
        <v>266</v>
      </c>
      <c r="E14" s="3"/>
      <c r="F14" s="12"/>
    </row>
    <row r="15" spans="1:6">
      <c r="A15" s="28">
        <v>9</v>
      </c>
      <c r="B15" s="21" t="s">
        <v>121</v>
      </c>
      <c r="C15" s="3" t="s">
        <v>51</v>
      </c>
      <c r="D15" s="3">
        <v>414</v>
      </c>
      <c r="E15" s="3"/>
      <c r="F15" s="12"/>
    </row>
    <row r="16" spans="1:6" ht="30">
      <c r="A16" s="28">
        <v>10</v>
      </c>
      <c r="B16" s="18" t="s">
        <v>122</v>
      </c>
      <c r="C16" s="3" t="s">
        <v>115</v>
      </c>
      <c r="D16" s="3">
        <v>10</v>
      </c>
      <c r="E16" s="3"/>
      <c r="F16" s="12"/>
    </row>
    <row r="17" spans="1:6">
      <c r="A17" s="28">
        <v>11</v>
      </c>
      <c r="B17" s="18" t="s">
        <v>124</v>
      </c>
      <c r="C17" s="3" t="s">
        <v>118</v>
      </c>
      <c r="D17" s="3">
        <f>D11+(D9*2.5)</f>
        <v>1.8959999999999999</v>
      </c>
      <c r="E17" s="3"/>
      <c r="F17" s="12"/>
    </row>
    <row r="18" spans="1:6">
      <c r="A18" s="28">
        <v>12</v>
      </c>
      <c r="B18" s="21" t="s">
        <v>125</v>
      </c>
      <c r="C18" s="3" t="s">
        <v>118</v>
      </c>
      <c r="D18" s="3">
        <f>D17</f>
        <v>1.8959999999999999</v>
      </c>
      <c r="E18" s="3"/>
      <c r="F18" s="12"/>
    </row>
    <row r="19" spans="1:6">
      <c r="A19" s="28">
        <v>13</v>
      </c>
      <c r="B19" s="18" t="s">
        <v>127</v>
      </c>
      <c r="C19" s="3" t="s">
        <v>128</v>
      </c>
      <c r="D19" s="3">
        <v>50</v>
      </c>
      <c r="E19" s="3"/>
      <c r="F19" s="12"/>
    </row>
    <row r="20" spans="1:6">
      <c r="A20" s="28">
        <v>14</v>
      </c>
      <c r="B20" s="18" t="s">
        <v>386</v>
      </c>
      <c r="C20" s="28" t="s">
        <v>118</v>
      </c>
      <c r="D20" s="28">
        <f>D11</f>
        <v>0.69599999999999995</v>
      </c>
      <c r="E20" s="28"/>
      <c r="F20" s="12"/>
    </row>
    <row r="21" spans="1:6">
      <c r="A21" s="28">
        <v>15</v>
      </c>
      <c r="B21" s="18" t="s">
        <v>150</v>
      </c>
      <c r="C21" s="6" t="s">
        <v>51</v>
      </c>
      <c r="D21" s="3">
        <v>2</v>
      </c>
      <c r="E21" s="3"/>
      <c r="F21" s="12"/>
    </row>
    <row r="22" spans="1:6">
      <c r="A22" s="28">
        <v>16</v>
      </c>
      <c r="B22" s="18" t="s">
        <v>129</v>
      </c>
      <c r="C22" s="3" t="s">
        <v>115</v>
      </c>
      <c r="D22" s="3">
        <f>D16</f>
        <v>10</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3" workbookViewId="0">
      <selection activeCell="B20" sqref="B20"/>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249</v>
      </c>
      <c r="B3" s="64"/>
      <c r="C3" s="64"/>
      <c r="D3" s="64"/>
      <c r="E3" s="64"/>
      <c r="F3" s="64"/>
    </row>
    <row r="4" spans="1:6">
      <c r="A4" s="63" t="s">
        <v>59</v>
      </c>
      <c r="B4" s="64"/>
      <c r="C4" s="64"/>
      <c r="D4" s="64"/>
      <c r="E4" s="64"/>
      <c r="F4" s="64"/>
    </row>
    <row r="5" spans="1:6">
      <c r="A5" s="65" t="s">
        <v>253</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2</v>
      </c>
      <c r="E7" s="3"/>
      <c r="F7" s="12"/>
    </row>
    <row r="8" spans="1:6">
      <c r="A8" s="3">
        <v>2</v>
      </c>
      <c r="B8" s="18" t="s">
        <v>113</v>
      </c>
      <c r="C8" s="3" t="s">
        <v>47</v>
      </c>
      <c r="D8" s="3">
        <v>4</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0.69599999999999995</v>
      </c>
      <c r="E11" s="3"/>
      <c r="F11" s="12"/>
    </row>
    <row r="12" spans="1:6">
      <c r="A12" s="28">
        <v>6</v>
      </c>
      <c r="B12" s="18" t="s">
        <v>123</v>
      </c>
      <c r="C12" s="3" t="s">
        <v>52</v>
      </c>
      <c r="D12" s="3">
        <v>44</v>
      </c>
      <c r="E12" s="3"/>
      <c r="F12" s="12"/>
    </row>
    <row r="13" spans="1:6">
      <c r="A13" s="28">
        <v>7</v>
      </c>
      <c r="B13" s="18" t="s">
        <v>130</v>
      </c>
      <c r="C13" s="3" t="s">
        <v>46</v>
      </c>
      <c r="D13" s="3">
        <f>D16*0.78</f>
        <v>7.8000000000000007</v>
      </c>
      <c r="E13" s="3"/>
      <c r="F13" s="12"/>
    </row>
    <row r="14" spans="1:6">
      <c r="A14" s="28">
        <v>8</v>
      </c>
      <c r="B14" s="18" t="s">
        <v>120</v>
      </c>
      <c r="C14" s="3" t="s">
        <v>119</v>
      </c>
      <c r="D14" s="3">
        <f>125*2+4*4</f>
        <v>266</v>
      </c>
      <c r="E14" s="3"/>
      <c r="F14" s="12"/>
    </row>
    <row r="15" spans="1:6">
      <c r="A15" s="28">
        <v>9</v>
      </c>
      <c r="B15" s="21" t="s">
        <v>121</v>
      </c>
      <c r="C15" s="3" t="s">
        <v>51</v>
      </c>
      <c r="D15" s="3">
        <v>414</v>
      </c>
      <c r="E15" s="3"/>
      <c r="F15" s="12"/>
    </row>
    <row r="16" spans="1:6" ht="30">
      <c r="A16" s="28">
        <v>10</v>
      </c>
      <c r="B16" s="18" t="s">
        <v>122</v>
      </c>
      <c r="C16" s="3" t="s">
        <v>115</v>
      </c>
      <c r="D16" s="3">
        <v>10</v>
      </c>
      <c r="E16" s="3"/>
      <c r="F16" s="12"/>
    </row>
    <row r="17" spans="1:6">
      <c r="A17" s="28">
        <v>11</v>
      </c>
      <c r="B17" s="18" t="s">
        <v>124</v>
      </c>
      <c r="C17" s="3" t="s">
        <v>118</v>
      </c>
      <c r="D17" s="3">
        <f>D11+(D9*2.5)</f>
        <v>1.8959999999999999</v>
      </c>
      <c r="E17" s="3"/>
      <c r="F17" s="12"/>
    </row>
    <row r="18" spans="1:6">
      <c r="A18" s="28">
        <v>12</v>
      </c>
      <c r="B18" s="21" t="s">
        <v>125</v>
      </c>
      <c r="C18" s="3" t="s">
        <v>118</v>
      </c>
      <c r="D18" s="3">
        <f>D17</f>
        <v>1.8959999999999999</v>
      </c>
      <c r="E18" s="3"/>
      <c r="F18" s="12"/>
    </row>
    <row r="19" spans="1:6">
      <c r="A19" s="28">
        <v>13</v>
      </c>
      <c r="B19" s="18" t="s">
        <v>127</v>
      </c>
      <c r="C19" s="3" t="s">
        <v>128</v>
      </c>
      <c r="D19" s="3">
        <v>50</v>
      </c>
      <c r="E19" s="3"/>
      <c r="F19" s="12"/>
    </row>
    <row r="20" spans="1:6">
      <c r="A20" s="28">
        <v>14</v>
      </c>
      <c r="B20" s="18" t="s">
        <v>386</v>
      </c>
      <c r="C20" s="28" t="s">
        <v>118</v>
      </c>
      <c r="D20" s="28">
        <f>D11</f>
        <v>0.69599999999999995</v>
      </c>
      <c r="E20" s="28"/>
      <c r="F20" s="12"/>
    </row>
    <row r="21" spans="1:6">
      <c r="A21" s="28">
        <v>15</v>
      </c>
      <c r="B21" s="18" t="s">
        <v>150</v>
      </c>
      <c r="C21" s="6" t="s">
        <v>51</v>
      </c>
      <c r="D21" s="3">
        <v>2</v>
      </c>
      <c r="E21" s="3"/>
      <c r="F21" s="12"/>
    </row>
    <row r="22" spans="1:6">
      <c r="A22" s="28">
        <v>16</v>
      </c>
      <c r="B22" s="18" t="s">
        <v>129</v>
      </c>
      <c r="C22" s="3" t="s">
        <v>115</v>
      </c>
      <c r="D22" s="3">
        <f>D16</f>
        <v>10</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4" workbookViewId="0">
      <selection activeCell="B20" sqref="B20"/>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255</v>
      </c>
      <c r="B3" s="64"/>
      <c r="C3" s="64"/>
      <c r="D3" s="64"/>
      <c r="E3" s="64"/>
      <c r="F3" s="64"/>
    </row>
    <row r="4" spans="1:6">
      <c r="A4" s="63" t="s">
        <v>59</v>
      </c>
      <c r="B4" s="64"/>
      <c r="C4" s="64"/>
      <c r="D4" s="64"/>
      <c r="E4" s="64"/>
      <c r="F4" s="64"/>
    </row>
    <row r="5" spans="1:6">
      <c r="A5" s="65" t="s">
        <v>256</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8</v>
      </c>
      <c r="E7" s="3"/>
      <c r="F7" s="12"/>
    </row>
    <row r="8" spans="1:6">
      <c r="A8" s="3">
        <v>2</v>
      </c>
      <c r="B8" s="18" t="s">
        <v>113</v>
      </c>
      <c r="C8" s="3" t="s">
        <v>47</v>
      </c>
      <c r="D8" s="3">
        <v>16</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1.131</v>
      </c>
      <c r="E11" s="3"/>
      <c r="F11" s="12"/>
    </row>
    <row r="12" spans="1:6">
      <c r="A12" s="28">
        <v>6</v>
      </c>
      <c r="B12" s="18" t="s">
        <v>123</v>
      </c>
      <c r="C12" s="3" t="s">
        <v>52</v>
      </c>
      <c r="D12" s="3">
        <v>60</v>
      </c>
      <c r="E12" s="3"/>
      <c r="F12" s="12"/>
    </row>
    <row r="13" spans="1:6">
      <c r="A13" s="28">
        <v>7</v>
      </c>
      <c r="B13" s="18" t="s">
        <v>130</v>
      </c>
      <c r="C13" s="3" t="s">
        <v>46</v>
      </c>
      <c r="D13" s="3">
        <f>D16*0.78</f>
        <v>12.48</v>
      </c>
      <c r="E13" s="3"/>
      <c r="F13" s="12"/>
    </row>
    <row r="14" spans="1:6">
      <c r="A14" s="28">
        <v>8</v>
      </c>
      <c r="B14" s="18" t="s">
        <v>120</v>
      </c>
      <c r="C14" s="3" t="s">
        <v>119</v>
      </c>
      <c r="D14" s="3">
        <f>197*2+4*4</f>
        <v>410</v>
      </c>
      <c r="E14" s="3"/>
      <c r="F14" s="12"/>
    </row>
    <row r="15" spans="1:6">
      <c r="A15" s="28">
        <v>9</v>
      </c>
      <c r="B15" s="21" t="s">
        <v>121</v>
      </c>
      <c r="C15" s="3" t="s">
        <v>51</v>
      </c>
      <c r="D15" s="3">
        <v>654</v>
      </c>
      <c r="E15" s="3"/>
      <c r="F15" s="12"/>
    </row>
    <row r="16" spans="1:6" ht="30">
      <c r="A16" s="28">
        <v>10</v>
      </c>
      <c r="B16" s="18" t="s">
        <v>122</v>
      </c>
      <c r="C16" s="3" t="s">
        <v>115</v>
      </c>
      <c r="D16" s="3">
        <v>16</v>
      </c>
      <c r="E16" s="3"/>
      <c r="F16" s="12"/>
    </row>
    <row r="17" spans="1:6">
      <c r="A17" s="28">
        <v>11</v>
      </c>
      <c r="B17" s="18" t="s">
        <v>124</v>
      </c>
      <c r="C17" s="3" t="s">
        <v>118</v>
      </c>
      <c r="D17" s="3">
        <f>D11+(D9*2.5)</f>
        <v>2.331</v>
      </c>
      <c r="E17" s="3"/>
      <c r="F17" s="12"/>
    </row>
    <row r="18" spans="1:6">
      <c r="A18" s="28">
        <v>12</v>
      </c>
      <c r="B18" s="21" t="s">
        <v>125</v>
      </c>
      <c r="C18" s="3" t="s">
        <v>118</v>
      </c>
      <c r="D18" s="3">
        <f>D17</f>
        <v>2.331</v>
      </c>
      <c r="E18" s="3"/>
      <c r="F18" s="12"/>
    </row>
    <row r="19" spans="1:6">
      <c r="A19" s="28">
        <v>13</v>
      </c>
      <c r="B19" s="18" t="s">
        <v>127</v>
      </c>
      <c r="C19" s="3" t="s">
        <v>128</v>
      </c>
      <c r="D19" s="3">
        <v>50</v>
      </c>
      <c r="E19" s="3"/>
      <c r="F19" s="12"/>
    </row>
    <row r="20" spans="1:6">
      <c r="A20" s="28">
        <v>14</v>
      </c>
      <c r="B20" s="18" t="s">
        <v>386</v>
      </c>
      <c r="C20" s="28" t="s">
        <v>118</v>
      </c>
      <c r="D20" s="28">
        <f>D11</f>
        <v>1.131</v>
      </c>
      <c r="E20" s="28"/>
      <c r="F20" s="12"/>
    </row>
    <row r="21" spans="1:6">
      <c r="A21" s="28">
        <v>15</v>
      </c>
      <c r="B21" s="18" t="s">
        <v>150</v>
      </c>
      <c r="C21" s="6" t="s">
        <v>51</v>
      </c>
      <c r="D21" s="3">
        <v>2</v>
      </c>
      <c r="E21" s="3"/>
      <c r="F21" s="12"/>
    </row>
    <row r="22" spans="1:6">
      <c r="A22" s="28">
        <v>16</v>
      </c>
      <c r="B22" s="18" t="s">
        <v>129</v>
      </c>
      <c r="C22" s="3" t="s">
        <v>115</v>
      </c>
      <c r="D22" s="3">
        <f>D16</f>
        <v>16</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4" workbookViewId="0">
      <selection activeCell="B20" sqref="B20"/>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257</v>
      </c>
      <c r="B3" s="64"/>
      <c r="C3" s="64"/>
      <c r="D3" s="64"/>
      <c r="E3" s="64"/>
      <c r="F3" s="64"/>
    </row>
    <row r="4" spans="1:6">
      <c r="A4" s="63" t="s">
        <v>59</v>
      </c>
      <c r="B4" s="64"/>
      <c r="C4" s="64"/>
      <c r="D4" s="64"/>
      <c r="E4" s="64"/>
      <c r="F4" s="64"/>
    </row>
    <row r="5" spans="1:6">
      <c r="A5" s="65" t="s">
        <v>258</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4</v>
      </c>
      <c r="E7" s="3"/>
      <c r="F7" s="12"/>
    </row>
    <row r="8" spans="1:6">
      <c r="A8" s="3">
        <v>2</v>
      </c>
      <c r="B8" s="18" t="s">
        <v>113</v>
      </c>
      <c r="C8" s="3" t="s">
        <v>47</v>
      </c>
      <c r="D8" s="3">
        <v>8</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1.131</v>
      </c>
      <c r="E11" s="3"/>
      <c r="F11" s="12"/>
    </row>
    <row r="12" spans="1:6">
      <c r="A12" s="28">
        <v>6</v>
      </c>
      <c r="B12" s="18" t="s">
        <v>123</v>
      </c>
      <c r="C12" s="3" t="s">
        <v>52</v>
      </c>
      <c r="D12" s="3">
        <v>60</v>
      </c>
      <c r="E12" s="3"/>
      <c r="F12" s="12"/>
    </row>
    <row r="13" spans="1:6">
      <c r="A13" s="28">
        <v>7</v>
      </c>
      <c r="B13" s="18" t="s">
        <v>130</v>
      </c>
      <c r="C13" s="3" t="s">
        <v>46</v>
      </c>
      <c r="D13" s="3">
        <f>D16*0.78</f>
        <v>12.48</v>
      </c>
      <c r="E13" s="3"/>
      <c r="F13" s="12"/>
    </row>
    <row r="14" spans="1:6">
      <c r="A14" s="28">
        <v>8</v>
      </c>
      <c r="B14" s="18" t="s">
        <v>120</v>
      </c>
      <c r="C14" s="3" t="s">
        <v>119</v>
      </c>
      <c r="D14" s="3">
        <f>197*2+4*4</f>
        <v>410</v>
      </c>
      <c r="E14" s="3"/>
      <c r="F14" s="12"/>
    </row>
    <row r="15" spans="1:6">
      <c r="A15" s="28">
        <v>9</v>
      </c>
      <c r="B15" s="21" t="s">
        <v>121</v>
      </c>
      <c r="C15" s="3" t="s">
        <v>51</v>
      </c>
      <c r="D15" s="3">
        <v>654</v>
      </c>
      <c r="E15" s="3"/>
      <c r="F15" s="12"/>
    </row>
    <row r="16" spans="1:6" ht="30">
      <c r="A16" s="28">
        <v>10</v>
      </c>
      <c r="B16" s="18" t="s">
        <v>122</v>
      </c>
      <c r="C16" s="3" t="s">
        <v>115</v>
      </c>
      <c r="D16" s="3">
        <v>16</v>
      </c>
      <c r="E16" s="3"/>
      <c r="F16" s="12"/>
    </row>
    <row r="17" spans="1:6">
      <c r="A17" s="28">
        <v>11</v>
      </c>
      <c r="B17" s="18" t="s">
        <v>124</v>
      </c>
      <c r="C17" s="3" t="s">
        <v>118</v>
      </c>
      <c r="D17" s="3">
        <f>D11+(D9*2.5)</f>
        <v>2.331</v>
      </c>
      <c r="E17" s="3"/>
      <c r="F17" s="12"/>
    </row>
    <row r="18" spans="1:6">
      <c r="A18" s="28">
        <v>12</v>
      </c>
      <c r="B18" s="21" t="s">
        <v>125</v>
      </c>
      <c r="C18" s="3" t="s">
        <v>118</v>
      </c>
      <c r="D18" s="3">
        <f>D17</f>
        <v>2.331</v>
      </c>
      <c r="E18" s="3"/>
      <c r="F18" s="12"/>
    </row>
    <row r="19" spans="1:6">
      <c r="A19" s="28">
        <v>13</v>
      </c>
      <c r="B19" s="18" t="s">
        <v>127</v>
      </c>
      <c r="C19" s="3" t="s">
        <v>128</v>
      </c>
      <c r="D19" s="3">
        <v>50</v>
      </c>
      <c r="E19" s="3"/>
      <c r="F19" s="12"/>
    </row>
    <row r="20" spans="1:6">
      <c r="A20" s="28">
        <v>14</v>
      </c>
      <c r="B20" s="18" t="s">
        <v>386</v>
      </c>
      <c r="C20" s="28" t="s">
        <v>118</v>
      </c>
      <c r="D20" s="28">
        <f>D11</f>
        <v>1.131</v>
      </c>
      <c r="E20" s="28"/>
      <c r="F20" s="12"/>
    </row>
    <row r="21" spans="1:6">
      <c r="A21" s="28">
        <v>15</v>
      </c>
      <c r="B21" s="18" t="s">
        <v>150</v>
      </c>
      <c r="C21" s="6" t="s">
        <v>51</v>
      </c>
      <c r="D21" s="3">
        <v>2</v>
      </c>
      <c r="E21" s="3"/>
      <c r="F21" s="12"/>
    </row>
    <row r="22" spans="1:6">
      <c r="A22" s="28">
        <v>16</v>
      </c>
      <c r="B22" s="18" t="s">
        <v>129</v>
      </c>
      <c r="C22" s="3" t="s">
        <v>115</v>
      </c>
      <c r="D22" s="3">
        <f>D16</f>
        <v>16</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4" workbookViewId="0">
      <selection activeCell="B20" sqref="B20"/>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261</v>
      </c>
      <c r="B3" s="64"/>
      <c r="C3" s="64"/>
      <c r="D3" s="64"/>
      <c r="E3" s="64"/>
      <c r="F3" s="64"/>
    </row>
    <row r="4" spans="1:6">
      <c r="A4" s="63" t="s">
        <v>59</v>
      </c>
      <c r="B4" s="64"/>
      <c r="C4" s="64"/>
      <c r="D4" s="64"/>
      <c r="E4" s="64"/>
      <c r="F4" s="64"/>
    </row>
    <row r="5" spans="1:6">
      <c r="A5" s="65" t="s">
        <v>262</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4</v>
      </c>
      <c r="E7" s="3"/>
      <c r="F7" s="12"/>
    </row>
    <row r="8" spans="1:6">
      <c r="A8" s="3">
        <v>2</v>
      </c>
      <c r="B8" s="18" t="s">
        <v>113</v>
      </c>
      <c r="C8" s="3" t="s">
        <v>47</v>
      </c>
      <c r="D8" s="3">
        <v>8</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1.131</v>
      </c>
      <c r="E11" s="3"/>
      <c r="F11" s="12"/>
    </row>
    <row r="12" spans="1:6">
      <c r="A12" s="28">
        <v>6</v>
      </c>
      <c r="B12" s="18" t="s">
        <v>123</v>
      </c>
      <c r="C12" s="3" t="s">
        <v>52</v>
      </c>
      <c r="D12" s="3">
        <v>60</v>
      </c>
      <c r="E12" s="3"/>
      <c r="F12" s="12"/>
    </row>
    <row r="13" spans="1:6">
      <c r="A13" s="28">
        <v>7</v>
      </c>
      <c r="B13" s="18" t="s">
        <v>130</v>
      </c>
      <c r="C13" s="3" t="s">
        <v>46</v>
      </c>
      <c r="D13" s="3">
        <f>D16*0.78</f>
        <v>12.48</v>
      </c>
      <c r="E13" s="3"/>
      <c r="F13" s="12"/>
    </row>
    <row r="14" spans="1:6">
      <c r="A14" s="28">
        <v>8</v>
      </c>
      <c r="B14" s="18" t="s">
        <v>120</v>
      </c>
      <c r="C14" s="3" t="s">
        <v>119</v>
      </c>
      <c r="D14" s="3">
        <f>197*2+4*4</f>
        <v>410</v>
      </c>
      <c r="E14" s="3"/>
      <c r="F14" s="12"/>
    </row>
    <row r="15" spans="1:6">
      <c r="A15" s="28">
        <v>9</v>
      </c>
      <c r="B15" s="21" t="s">
        <v>121</v>
      </c>
      <c r="C15" s="3" t="s">
        <v>51</v>
      </c>
      <c r="D15" s="3">
        <v>654</v>
      </c>
      <c r="E15" s="3"/>
      <c r="F15" s="12"/>
    </row>
    <row r="16" spans="1:6" ht="30">
      <c r="A16" s="28">
        <v>10</v>
      </c>
      <c r="B16" s="18" t="s">
        <v>122</v>
      </c>
      <c r="C16" s="3" t="s">
        <v>115</v>
      </c>
      <c r="D16" s="3">
        <v>16</v>
      </c>
      <c r="E16" s="3"/>
      <c r="F16" s="12"/>
    </row>
    <row r="17" spans="1:6">
      <c r="A17" s="28">
        <v>11</v>
      </c>
      <c r="B17" s="18" t="s">
        <v>124</v>
      </c>
      <c r="C17" s="3" t="s">
        <v>118</v>
      </c>
      <c r="D17" s="3">
        <f>D11+(D9*2.5)</f>
        <v>2.331</v>
      </c>
      <c r="E17" s="3"/>
      <c r="F17" s="12"/>
    </row>
    <row r="18" spans="1:6">
      <c r="A18" s="28">
        <v>12</v>
      </c>
      <c r="B18" s="21" t="s">
        <v>125</v>
      </c>
      <c r="C18" s="3" t="s">
        <v>118</v>
      </c>
      <c r="D18" s="3">
        <f>D17</f>
        <v>2.331</v>
      </c>
      <c r="E18" s="3"/>
      <c r="F18" s="12"/>
    </row>
    <row r="19" spans="1:6">
      <c r="A19" s="28">
        <v>13</v>
      </c>
      <c r="B19" s="18" t="s">
        <v>127</v>
      </c>
      <c r="C19" s="3" t="s">
        <v>128</v>
      </c>
      <c r="D19" s="3">
        <v>50</v>
      </c>
      <c r="E19" s="3"/>
      <c r="F19" s="12"/>
    </row>
    <row r="20" spans="1:6">
      <c r="A20" s="28">
        <v>14</v>
      </c>
      <c r="B20" s="18" t="s">
        <v>386</v>
      </c>
      <c r="C20" s="28" t="s">
        <v>118</v>
      </c>
      <c r="D20" s="28">
        <f>D11</f>
        <v>1.131</v>
      </c>
      <c r="E20" s="28"/>
      <c r="F20" s="12"/>
    </row>
    <row r="21" spans="1:6">
      <c r="A21" s="28">
        <v>15</v>
      </c>
      <c r="B21" s="18" t="s">
        <v>150</v>
      </c>
      <c r="C21" s="6" t="s">
        <v>51</v>
      </c>
      <c r="D21" s="3">
        <v>2</v>
      </c>
      <c r="E21" s="3"/>
      <c r="F21" s="12"/>
    </row>
    <row r="22" spans="1:6">
      <c r="A22" s="28">
        <v>16</v>
      </c>
      <c r="B22" s="18" t="s">
        <v>129</v>
      </c>
      <c r="C22" s="3" t="s">
        <v>115</v>
      </c>
      <c r="D22" s="3">
        <f>D16</f>
        <v>16</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4" workbookViewId="0">
      <selection activeCell="B20" sqref="B20"/>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259</v>
      </c>
      <c r="B3" s="64"/>
      <c r="C3" s="64"/>
      <c r="D3" s="64"/>
      <c r="E3" s="64"/>
      <c r="F3" s="64"/>
    </row>
    <row r="4" spans="1:6">
      <c r="A4" s="63" t="s">
        <v>59</v>
      </c>
      <c r="B4" s="64"/>
      <c r="C4" s="64"/>
      <c r="D4" s="64"/>
      <c r="E4" s="64"/>
      <c r="F4" s="64"/>
    </row>
    <row r="5" spans="1:6">
      <c r="A5" s="65" t="s">
        <v>260</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4</v>
      </c>
      <c r="E7" s="3"/>
      <c r="F7" s="12"/>
    </row>
    <row r="8" spans="1:6">
      <c r="A8" s="3">
        <v>2</v>
      </c>
      <c r="B8" s="18" t="s">
        <v>113</v>
      </c>
      <c r="C8" s="3" t="s">
        <v>47</v>
      </c>
      <c r="D8" s="3">
        <v>8</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1.131</v>
      </c>
      <c r="E11" s="3"/>
      <c r="F11" s="12"/>
    </row>
    <row r="12" spans="1:6">
      <c r="A12" s="28">
        <v>6</v>
      </c>
      <c r="B12" s="18" t="s">
        <v>123</v>
      </c>
      <c r="C12" s="3" t="s">
        <v>52</v>
      </c>
      <c r="D12" s="3">
        <v>60</v>
      </c>
      <c r="E12" s="3"/>
      <c r="F12" s="12"/>
    </row>
    <row r="13" spans="1:6">
      <c r="A13" s="28">
        <v>7</v>
      </c>
      <c r="B13" s="18" t="s">
        <v>130</v>
      </c>
      <c r="C13" s="3" t="s">
        <v>46</v>
      </c>
      <c r="D13" s="3">
        <f>D16*0.78</f>
        <v>12.48</v>
      </c>
      <c r="E13" s="3"/>
      <c r="F13" s="12"/>
    </row>
    <row r="14" spans="1:6">
      <c r="A14" s="28">
        <v>8</v>
      </c>
      <c r="B14" s="18" t="s">
        <v>120</v>
      </c>
      <c r="C14" s="3" t="s">
        <v>119</v>
      </c>
      <c r="D14" s="3">
        <f>197*2+4*4</f>
        <v>410</v>
      </c>
      <c r="E14" s="3"/>
      <c r="F14" s="12"/>
    </row>
    <row r="15" spans="1:6">
      <c r="A15" s="28">
        <v>9</v>
      </c>
      <c r="B15" s="21" t="s">
        <v>121</v>
      </c>
      <c r="C15" s="3" t="s">
        <v>51</v>
      </c>
      <c r="D15" s="3">
        <v>654</v>
      </c>
      <c r="E15" s="3"/>
      <c r="F15" s="12"/>
    </row>
    <row r="16" spans="1:6" ht="30">
      <c r="A16" s="28">
        <v>10</v>
      </c>
      <c r="B16" s="18" t="s">
        <v>122</v>
      </c>
      <c r="C16" s="3" t="s">
        <v>115</v>
      </c>
      <c r="D16" s="3">
        <v>16</v>
      </c>
      <c r="E16" s="3"/>
      <c r="F16" s="12"/>
    </row>
    <row r="17" spans="1:6">
      <c r="A17" s="28">
        <v>11</v>
      </c>
      <c r="B17" s="18" t="s">
        <v>124</v>
      </c>
      <c r="C17" s="3" t="s">
        <v>118</v>
      </c>
      <c r="D17" s="3">
        <f>D11+(D9*2.5)</f>
        <v>2.331</v>
      </c>
      <c r="E17" s="3"/>
      <c r="F17" s="12"/>
    </row>
    <row r="18" spans="1:6">
      <c r="A18" s="28">
        <v>12</v>
      </c>
      <c r="B18" s="21" t="s">
        <v>125</v>
      </c>
      <c r="C18" s="3" t="s">
        <v>118</v>
      </c>
      <c r="D18" s="3">
        <f>D17</f>
        <v>2.331</v>
      </c>
      <c r="E18" s="3"/>
      <c r="F18" s="12"/>
    </row>
    <row r="19" spans="1:6">
      <c r="A19" s="28">
        <v>13</v>
      </c>
      <c r="B19" s="18" t="s">
        <v>127</v>
      </c>
      <c r="C19" s="3" t="s">
        <v>128</v>
      </c>
      <c r="D19" s="3">
        <v>50</v>
      </c>
      <c r="E19" s="3"/>
      <c r="F19" s="12"/>
    </row>
    <row r="20" spans="1:6">
      <c r="A20" s="28">
        <v>14</v>
      </c>
      <c r="B20" s="18" t="s">
        <v>386</v>
      </c>
      <c r="C20" s="28" t="s">
        <v>118</v>
      </c>
      <c r="D20" s="28">
        <f>D11</f>
        <v>1.131</v>
      </c>
      <c r="E20" s="28"/>
      <c r="F20" s="12"/>
    </row>
    <row r="21" spans="1:6">
      <c r="A21" s="28">
        <v>15</v>
      </c>
      <c r="B21" s="18" t="s">
        <v>150</v>
      </c>
      <c r="C21" s="6" t="s">
        <v>51</v>
      </c>
      <c r="D21" s="3">
        <v>2</v>
      </c>
      <c r="E21" s="3"/>
      <c r="F21" s="12"/>
    </row>
    <row r="22" spans="1:6">
      <c r="A22" s="28">
        <v>16</v>
      </c>
      <c r="B22" s="18" t="s">
        <v>129</v>
      </c>
      <c r="C22" s="3" t="s">
        <v>115</v>
      </c>
      <c r="D22" s="3">
        <f>D16</f>
        <v>16</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4" workbookViewId="0">
      <selection activeCell="B20" sqref="B20"/>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263</v>
      </c>
      <c r="B3" s="64"/>
      <c r="C3" s="64"/>
      <c r="D3" s="64"/>
      <c r="E3" s="64"/>
      <c r="F3" s="64"/>
    </row>
    <row r="4" spans="1:6">
      <c r="A4" s="63" t="s">
        <v>59</v>
      </c>
      <c r="B4" s="64"/>
      <c r="C4" s="64"/>
      <c r="D4" s="64"/>
      <c r="E4" s="64"/>
      <c r="F4" s="64"/>
    </row>
    <row r="5" spans="1:6">
      <c r="A5" s="65" t="s">
        <v>264</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2</v>
      </c>
      <c r="E7" s="3"/>
      <c r="F7" s="12"/>
    </row>
    <row r="8" spans="1:6">
      <c r="A8" s="3">
        <v>2</v>
      </c>
      <c r="B8" s="18" t="s">
        <v>113</v>
      </c>
      <c r="C8" s="3" t="s">
        <v>47</v>
      </c>
      <c r="D8" s="3">
        <v>4</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0.82499999999999996</v>
      </c>
      <c r="E11" s="3"/>
      <c r="F11" s="12"/>
    </row>
    <row r="12" spans="1:6">
      <c r="A12" s="28">
        <v>6</v>
      </c>
      <c r="B12" s="18" t="s">
        <v>123</v>
      </c>
      <c r="C12" s="3" t="s">
        <v>52</v>
      </c>
      <c r="D12" s="3">
        <v>52.2</v>
      </c>
      <c r="E12" s="3"/>
      <c r="F12" s="12"/>
    </row>
    <row r="13" spans="1:6">
      <c r="A13" s="28">
        <v>7</v>
      </c>
      <c r="B13" s="18" t="s">
        <v>130</v>
      </c>
      <c r="C13" s="3" t="s">
        <v>46</v>
      </c>
      <c r="D13" s="3">
        <f>D16*0.78</f>
        <v>9.36</v>
      </c>
      <c r="E13" s="3"/>
      <c r="F13" s="12"/>
    </row>
    <row r="14" spans="1:6">
      <c r="A14" s="28">
        <v>8</v>
      </c>
      <c r="B14" s="18" t="s">
        <v>120</v>
      </c>
      <c r="C14" s="3" t="s">
        <v>119</v>
      </c>
      <c r="D14" s="3">
        <f>149*2+4*4</f>
        <v>314</v>
      </c>
      <c r="E14" s="3"/>
      <c r="F14" s="12"/>
    </row>
    <row r="15" spans="1:6">
      <c r="A15" s="28">
        <v>9</v>
      </c>
      <c r="B15" s="21" t="s">
        <v>121</v>
      </c>
      <c r="C15" s="3" t="s">
        <v>51</v>
      </c>
      <c r="D15" s="3">
        <v>494</v>
      </c>
      <c r="E15" s="3"/>
      <c r="F15" s="12"/>
    </row>
    <row r="16" spans="1:6" ht="30">
      <c r="A16" s="28">
        <v>10</v>
      </c>
      <c r="B16" s="18" t="s">
        <v>122</v>
      </c>
      <c r="C16" s="3" t="s">
        <v>115</v>
      </c>
      <c r="D16" s="3">
        <v>12</v>
      </c>
      <c r="E16" s="3"/>
      <c r="F16" s="12"/>
    </row>
    <row r="17" spans="1:6">
      <c r="A17" s="28">
        <v>11</v>
      </c>
      <c r="B17" s="18" t="s">
        <v>124</v>
      </c>
      <c r="C17" s="3" t="s">
        <v>118</v>
      </c>
      <c r="D17" s="3">
        <f>D11+(D9*2.5)</f>
        <v>2.0249999999999999</v>
      </c>
      <c r="E17" s="3"/>
      <c r="F17" s="12"/>
    </row>
    <row r="18" spans="1:6">
      <c r="A18" s="28">
        <v>12</v>
      </c>
      <c r="B18" s="21" t="s">
        <v>125</v>
      </c>
      <c r="C18" s="3" t="s">
        <v>118</v>
      </c>
      <c r="D18" s="3">
        <f>D17</f>
        <v>2.0249999999999999</v>
      </c>
      <c r="E18" s="3"/>
      <c r="F18" s="12"/>
    </row>
    <row r="19" spans="1:6">
      <c r="A19" s="28">
        <v>13</v>
      </c>
      <c r="B19" s="18" t="s">
        <v>127</v>
      </c>
      <c r="C19" s="3" t="s">
        <v>128</v>
      </c>
      <c r="D19" s="3">
        <v>50</v>
      </c>
      <c r="E19" s="3"/>
      <c r="F19" s="12"/>
    </row>
    <row r="20" spans="1:6">
      <c r="A20" s="28">
        <v>14</v>
      </c>
      <c r="B20" s="18" t="s">
        <v>386</v>
      </c>
      <c r="C20" s="28" t="s">
        <v>118</v>
      </c>
      <c r="D20" s="28">
        <f>D11</f>
        <v>0.82499999999999996</v>
      </c>
      <c r="E20" s="28"/>
      <c r="F20" s="12"/>
    </row>
    <row r="21" spans="1:6">
      <c r="A21" s="28">
        <v>15</v>
      </c>
      <c r="B21" s="18" t="s">
        <v>150</v>
      </c>
      <c r="C21" s="6" t="s">
        <v>51</v>
      </c>
      <c r="D21" s="3">
        <v>2</v>
      </c>
      <c r="E21" s="3"/>
      <c r="F21" s="12"/>
    </row>
    <row r="22" spans="1:6">
      <c r="A22" s="28">
        <v>16</v>
      </c>
      <c r="B22" s="18" t="s">
        <v>129</v>
      </c>
      <c r="C22" s="3" t="s">
        <v>115</v>
      </c>
      <c r="D22" s="3">
        <f>D16</f>
        <v>12</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4" workbookViewId="0">
      <selection activeCell="B20" sqref="B20"/>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265</v>
      </c>
      <c r="B3" s="64"/>
      <c r="C3" s="64"/>
      <c r="D3" s="64"/>
      <c r="E3" s="64"/>
      <c r="F3" s="64"/>
    </row>
    <row r="4" spans="1:6">
      <c r="A4" s="63" t="s">
        <v>59</v>
      </c>
      <c r="B4" s="64"/>
      <c r="C4" s="64"/>
      <c r="D4" s="64"/>
      <c r="E4" s="64"/>
      <c r="F4" s="64"/>
    </row>
    <row r="5" spans="1:6">
      <c r="A5" s="65" t="s">
        <v>266</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2</v>
      </c>
      <c r="E7" s="3"/>
      <c r="F7" s="12"/>
    </row>
    <row r="8" spans="1:6">
      <c r="A8" s="3">
        <v>2</v>
      </c>
      <c r="B8" s="18" t="s">
        <v>113</v>
      </c>
      <c r="C8" s="3" t="s">
        <v>47</v>
      </c>
      <c r="D8" s="3">
        <v>4</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0.82499999999999996</v>
      </c>
      <c r="E11" s="3"/>
      <c r="F11" s="12"/>
    </row>
    <row r="12" spans="1:6">
      <c r="A12" s="28">
        <v>6</v>
      </c>
      <c r="B12" s="18" t="s">
        <v>123</v>
      </c>
      <c r="C12" s="3" t="s">
        <v>52</v>
      </c>
      <c r="D12" s="3">
        <v>52.2</v>
      </c>
      <c r="E12" s="3"/>
      <c r="F12" s="12"/>
    </row>
    <row r="13" spans="1:6">
      <c r="A13" s="28">
        <v>7</v>
      </c>
      <c r="B13" s="18" t="s">
        <v>130</v>
      </c>
      <c r="C13" s="3" t="s">
        <v>46</v>
      </c>
      <c r="D13" s="3">
        <f>D16*0.78</f>
        <v>9.36</v>
      </c>
      <c r="E13" s="3"/>
      <c r="F13" s="12"/>
    </row>
    <row r="14" spans="1:6">
      <c r="A14" s="28">
        <v>8</v>
      </c>
      <c r="B14" s="18" t="s">
        <v>120</v>
      </c>
      <c r="C14" s="3" t="s">
        <v>119</v>
      </c>
      <c r="D14" s="3">
        <f>149*2+4*4</f>
        <v>314</v>
      </c>
      <c r="E14" s="3"/>
      <c r="F14" s="12"/>
    </row>
    <row r="15" spans="1:6">
      <c r="A15" s="28">
        <v>9</v>
      </c>
      <c r="B15" s="21" t="s">
        <v>121</v>
      </c>
      <c r="C15" s="3" t="s">
        <v>51</v>
      </c>
      <c r="D15" s="3">
        <v>494</v>
      </c>
      <c r="E15" s="3"/>
      <c r="F15" s="12"/>
    </row>
    <row r="16" spans="1:6" ht="30">
      <c r="A16" s="28">
        <v>10</v>
      </c>
      <c r="B16" s="18" t="s">
        <v>122</v>
      </c>
      <c r="C16" s="3" t="s">
        <v>115</v>
      </c>
      <c r="D16" s="3">
        <v>12</v>
      </c>
      <c r="E16" s="3"/>
      <c r="F16" s="12"/>
    </row>
    <row r="17" spans="1:6">
      <c r="A17" s="28">
        <v>11</v>
      </c>
      <c r="B17" s="18" t="s">
        <v>124</v>
      </c>
      <c r="C17" s="3" t="s">
        <v>118</v>
      </c>
      <c r="D17" s="3">
        <f>D11+(D9*2.5)</f>
        <v>2.0249999999999999</v>
      </c>
      <c r="E17" s="3"/>
      <c r="F17" s="12"/>
    </row>
    <row r="18" spans="1:6">
      <c r="A18" s="28">
        <v>12</v>
      </c>
      <c r="B18" s="21" t="s">
        <v>125</v>
      </c>
      <c r="C18" s="3" t="s">
        <v>118</v>
      </c>
      <c r="D18" s="3">
        <f>D17</f>
        <v>2.0249999999999999</v>
      </c>
      <c r="E18" s="3"/>
      <c r="F18" s="12"/>
    </row>
    <row r="19" spans="1:6">
      <c r="A19" s="28">
        <v>13</v>
      </c>
      <c r="B19" s="18" t="s">
        <v>127</v>
      </c>
      <c r="C19" s="3" t="s">
        <v>128</v>
      </c>
      <c r="D19" s="3">
        <v>50</v>
      </c>
      <c r="E19" s="3"/>
      <c r="F19" s="12"/>
    </row>
    <row r="20" spans="1:6">
      <c r="A20" s="28">
        <v>14</v>
      </c>
      <c r="B20" s="18" t="s">
        <v>386</v>
      </c>
      <c r="C20" s="28" t="s">
        <v>118</v>
      </c>
      <c r="D20" s="28">
        <f>D11</f>
        <v>0.82499999999999996</v>
      </c>
      <c r="E20" s="28"/>
      <c r="F20" s="12"/>
    </row>
    <row r="21" spans="1:6">
      <c r="A21" s="28">
        <v>15</v>
      </c>
      <c r="B21" s="18" t="s">
        <v>150</v>
      </c>
      <c r="C21" s="6" t="s">
        <v>51</v>
      </c>
      <c r="D21" s="3">
        <v>2</v>
      </c>
      <c r="E21" s="3"/>
      <c r="F21" s="12"/>
    </row>
    <row r="22" spans="1:6">
      <c r="A22" s="28">
        <v>16</v>
      </c>
      <c r="B22" s="18" t="s">
        <v>129</v>
      </c>
      <c r="C22" s="3" t="s">
        <v>115</v>
      </c>
      <c r="D22" s="3">
        <f>D16</f>
        <v>12</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2"/>
  <sheetViews>
    <sheetView topLeftCell="A7" workbookViewId="0">
      <selection activeCell="B20" sqref="B20"/>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265</v>
      </c>
      <c r="B3" s="64"/>
      <c r="C3" s="64"/>
      <c r="D3" s="64"/>
      <c r="E3" s="64"/>
      <c r="F3" s="64"/>
    </row>
    <row r="4" spans="1:6">
      <c r="A4" s="63" t="s">
        <v>59</v>
      </c>
      <c r="B4" s="64"/>
      <c r="C4" s="64"/>
      <c r="D4" s="64"/>
      <c r="E4" s="64"/>
      <c r="F4" s="64"/>
    </row>
    <row r="5" spans="1:6">
      <c r="A5" s="65" t="s">
        <v>267</v>
      </c>
      <c r="B5" s="66"/>
      <c r="C5" s="66"/>
      <c r="D5" s="66"/>
      <c r="E5" s="66"/>
      <c r="F5" s="66"/>
    </row>
    <row r="6" spans="1:6">
      <c r="A6" s="13" t="s">
        <v>1</v>
      </c>
      <c r="B6" s="14" t="s">
        <v>37</v>
      </c>
      <c r="C6" s="14" t="s">
        <v>38</v>
      </c>
      <c r="D6" s="15" t="s">
        <v>39</v>
      </c>
      <c r="E6" s="14" t="s">
        <v>40</v>
      </c>
      <c r="F6" s="14" t="s">
        <v>41</v>
      </c>
    </row>
    <row r="7" spans="1:6" ht="30">
      <c r="A7" s="3">
        <v>1</v>
      </c>
      <c r="B7" s="18" t="s">
        <v>268</v>
      </c>
      <c r="C7" s="19" t="s">
        <v>51</v>
      </c>
      <c r="D7" s="3">
        <v>180</v>
      </c>
      <c r="E7" s="3"/>
      <c r="F7" s="12"/>
    </row>
    <row r="8" spans="1:6">
      <c r="A8" s="3">
        <v>2</v>
      </c>
      <c r="B8" s="18" t="s">
        <v>269</v>
      </c>
      <c r="C8" s="3" t="s">
        <v>115</v>
      </c>
      <c r="D8" s="3">
        <v>6</v>
      </c>
      <c r="E8" s="3"/>
      <c r="F8" s="12"/>
    </row>
    <row r="9" spans="1:6">
      <c r="A9" s="3">
        <v>3</v>
      </c>
      <c r="B9" s="18" t="s">
        <v>270</v>
      </c>
      <c r="C9" s="3" t="s">
        <v>115</v>
      </c>
      <c r="D9" s="3">
        <v>6</v>
      </c>
      <c r="E9" s="3"/>
      <c r="F9" s="12"/>
    </row>
    <row r="10" spans="1:6">
      <c r="A10" s="3">
        <v>4</v>
      </c>
      <c r="B10" s="21" t="s">
        <v>271</v>
      </c>
      <c r="C10" s="3" t="s">
        <v>115</v>
      </c>
      <c r="D10" s="3">
        <v>130</v>
      </c>
      <c r="E10" s="3"/>
      <c r="F10" s="12"/>
    </row>
    <row r="11" spans="1:6">
      <c r="A11" s="3">
        <v>5</v>
      </c>
      <c r="B11" s="18"/>
      <c r="C11" s="3"/>
      <c r="D11" s="3"/>
      <c r="E11" s="3"/>
      <c r="F11" s="12"/>
    </row>
    <row r="12" spans="1:6">
      <c r="A12" s="3">
        <v>6</v>
      </c>
      <c r="B12" s="18"/>
      <c r="C12" s="3"/>
      <c r="D12" s="3"/>
      <c r="E12" s="3"/>
      <c r="F12" s="12"/>
    </row>
    <row r="13" spans="1:6">
      <c r="A13" s="3">
        <v>7</v>
      </c>
      <c r="B13" s="18"/>
      <c r="C13" s="3"/>
      <c r="D13" s="3"/>
      <c r="E13" s="3"/>
      <c r="F13" s="12"/>
    </row>
    <row r="14" spans="1:6">
      <c r="A14" s="3">
        <v>8</v>
      </c>
      <c r="B14" s="18"/>
      <c r="C14" s="3"/>
      <c r="D14" s="3"/>
      <c r="E14" s="3"/>
      <c r="F14" s="12"/>
    </row>
    <row r="15" spans="1:6">
      <c r="A15" s="3">
        <v>9</v>
      </c>
      <c r="B15" s="21"/>
      <c r="C15" s="3"/>
      <c r="D15" s="3"/>
      <c r="E15" s="3"/>
      <c r="F15" s="12"/>
    </row>
    <row r="16" spans="1:6">
      <c r="A16" s="3">
        <v>10</v>
      </c>
      <c r="B16" s="18"/>
      <c r="C16" s="3"/>
      <c r="D16" s="3"/>
      <c r="E16" s="3"/>
      <c r="F16" s="12"/>
    </row>
    <row r="17" spans="1:6">
      <c r="A17" s="3">
        <v>11</v>
      </c>
      <c r="B17" s="18"/>
      <c r="C17" s="3"/>
      <c r="D17" s="3"/>
      <c r="E17" s="3"/>
      <c r="F17" s="12"/>
    </row>
    <row r="18" spans="1:6">
      <c r="A18" s="3">
        <v>12</v>
      </c>
      <c r="B18" s="21"/>
      <c r="C18" s="3"/>
      <c r="D18" s="3"/>
      <c r="E18" s="3"/>
      <c r="F18" s="12"/>
    </row>
    <row r="19" spans="1:6">
      <c r="A19" s="3">
        <v>13</v>
      </c>
      <c r="B19" s="18"/>
      <c r="C19" s="3"/>
      <c r="D19" s="3"/>
      <c r="E19" s="3"/>
      <c r="F19" s="12"/>
    </row>
    <row r="20" spans="1:6">
      <c r="A20" s="3">
        <v>14</v>
      </c>
      <c r="B20" s="18"/>
      <c r="C20" s="6"/>
      <c r="D20" s="3"/>
      <c r="E20" s="3"/>
      <c r="F20" s="12"/>
    </row>
    <row r="21" spans="1:6">
      <c r="A21" s="3">
        <v>15</v>
      </c>
      <c r="B21" s="18"/>
      <c r="C21" s="3"/>
      <c r="D21" s="3"/>
      <c r="E21" s="3"/>
      <c r="F21" s="12"/>
    </row>
    <row r="22" spans="1:6">
      <c r="A22" s="3"/>
      <c r="B22" s="4" t="s">
        <v>18</v>
      </c>
      <c r="C22" s="3"/>
      <c r="D22" s="3"/>
      <c r="E22" s="3"/>
      <c r="F22" s="16">
        <f>SUM(F7:F21)</f>
        <v>0</v>
      </c>
    </row>
  </sheetData>
  <mergeCells count="4">
    <mergeCell ref="A1:F2"/>
    <mergeCell ref="A3:F3"/>
    <mergeCell ref="A4:F4"/>
    <mergeCell ref="A5:F5"/>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D33"/>
  <sheetViews>
    <sheetView topLeftCell="A7" workbookViewId="0">
      <selection activeCell="B20" sqref="B20"/>
    </sheetView>
  </sheetViews>
  <sheetFormatPr defaultRowHeight="15"/>
  <cols>
    <col min="1" max="1" width="10.140625" customWidth="1"/>
    <col min="2" max="2" width="10.7109375" customWidth="1"/>
    <col min="3" max="3" width="45.7109375" customWidth="1"/>
    <col min="4" max="4" width="21" customWidth="1"/>
  </cols>
  <sheetData>
    <row r="1" spans="1:4">
      <c r="A1" s="57" t="s">
        <v>49</v>
      </c>
      <c r="B1" s="57"/>
      <c r="C1" s="57"/>
      <c r="D1" s="57"/>
    </row>
    <row r="2" spans="1:4">
      <c r="A2" s="57"/>
      <c r="B2" s="57"/>
      <c r="C2" s="57"/>
      <c r="D2" s="57"/>
    </row>
    <row r="3" spans="1:4">
      <c r="A3" s="50" t="s">
        <v>62</v>
      </c>
      <c r="B3" s="50"/>
      <c r="C3" s="50"/>
      <c r="D3" s="50"/>
    </row>
    <row r="4" spans="1:4">
      <c r="A4" s="58" t="s">
        <v>60</v>
      </c>
      <c r="B4" s="59"/>
      <c r="C4" s="59"/>
      <c r="D4" s="60"/>
    </row>
    <row r="5" spans="1:4" ht="45">
      <c r="A5" s="7" t="s">
        <v>27</v>
      </c>
      <c r="B5" s="8" t="s">
        <v>1</v>
      </c>
      <c r="C5" s="3" t="s">
        <v>28</v>
      </c>
      <c r="D5" s="7" t="s">
        <v>29</v>
      </c>
    </row>
    <row r="6" spans="1:4">
      <c r="A6" s="3">
        <v>1</v>
      </c>
      <c r="B6" s="9" t="s">
        <v>63</v>
      </c>
      <c r="C6" s="3" t="s">
        <v>43</v>
      </c>
      <c r="D6" s="12">
        <f>'3-1'!F11</f>
        <v>0</v>
      </c>
    </row>
    <row r="7" spans="1:4">
      <c r="A7" s="3">
        <v>2</v>
      </c>
      <c r="B7" s="9" t="s">
        <v>64</v>
      </c>
      <c r="C7" s="3" t="s">
        <v>50</v>
      </c>
      <c r="D7" s="12">
        <f>'3-2'!F20</f>
        <v>0</v>
      </c>
    </row>
    <row r="8" spans="1:4">
      <c r="A8" s="17">
        <v>3</v>
      </c>
      <c r="B8" s="9" t="s">
        <v>65</v>
      </c>
      <c r="C8" s="17" t="s">
        <v>289</v>
      </c>
      <c r="D8" s="12">
        <f>'3-3'!F23</f>
        <v>0</v>
      </c>
    </row>
    <row r="9" spans="1:4">
      <c r="A9" s="17">
        <v>4</v>
      </c>
      <c r="B9" s="9" t="s">
        <v>66</v>
      </c>
      <c r="C9" s="17" t="s">
        <v>291</v>
      </c>
      <c r="D9" s="12">
        <f>'3-4'!F23</f>
        <v>0</v>
      </c>
    </row>
    <row r="10" spans="1:4">
      <c r="A10" s="17">
        <v>5</v>
      </c>
      <c r="B10" s="9" t="s">
        <v>67</v>
      </c>
      <c r="C10" s="17" t="s">
        <v>293</v>
      </c>
      <c r="D10" s="12">
        <f>'3-5'!F23</f>
        <v>0</v>
      </c>
    </row>
    <row r="11" spans="1:4">
      <c r="A11" s="17">
        <v>6</v>
      </c>
      <c r="B11" s="9" t="s">
        <v>68</v>
      </c>
      <c r="C11" s="17" t="s">
        <v>296</v>
      </c>
      <c r="D11" s="12">
        <f>'3-6'!F23</f>
        <v>0</v>
      </c>
    </row>
    <row r="12" spans="1:4">
      <c r="A12" s="17">
        <v>7</v>
      </c>
      <c r="B12" s="9" t="s">
        <v>69</v>
      </c>
      <c r="C12" s="17" t="s">
        <v>300</v>
      </c>
      <c r="D12" s="12">
        <f>'3-7'!F23</f>
        <v>0</v>
      </c>
    </row>
    <row r="13" spans="1:4">
      <c r="A13" s="17">
        <v>8</v>
      </c>
      <c r="B13" s="9" t="s">
        <v>70</v>
      </c>
      <c r="C13" s="17" t="s">
        <v>299</v>
      </c>
      <c r="D13" s="12">
        <f>'3-8'!F23</f>
        <v>0</v>
      </c>
    </row>
    <row r="14" spans="1:4">
      <c r="A14" s="17">
        <v>9</v>
      </c>
      <c r="B14" s="9" t="s">
        <v>71</v>
      </c>
      <c r="C14" s="17" t="s">
        <v>302</v>
      </c>
      <c r="D14" s="12">
        <f>'3-9'!F23</f>
        <v>0</v>
      </c>
    </row>
    <row r="15" spans="1:4">
      <c r="A15" s="17">
        <v>10</v>
      </c>
      <c r="B15" s="9" t="s">
        <v>72</v>
      </c>
      <c r="C15" s="17" t="s">
        <v>304</v>
      </c>
      <c r="D15" s="12">
        <f>'3-10'!F23</f>
        <v>0</v>
      </c>
    </row>
    <row r="16" spans="1:4">
      <c r="A16" s="17">
        <v>11</v>
      </c>
      <c r="B16" s="9" t="s">
        <v>73</v>
      </c>
      <c r="C16" s="17" t="s">
        <v>306</v>
      </c>
      <c r="D16" s="12">
        <f>'3-11'!F23</f>
        <v>0</v>
      </c>
    </row>
    <row r="17" spans="1:4">
      <c r="A17" s="17">
        <v>12</v>
      </c>
      <c r="B17" s="9" t="s">
        <v>74</v>
      </c>
      <c r="C17" s="17" t="s">
        <v>308</v>
      </c>
      <c r="D17" s="12">
        <f>'3-12'!F23</f>
        <v>0</v>
      </c>
    </row>
    <row r="18" spans="1:4">
      <c r="A18" s="17">
        <v>13</v>
      </c>
      <c r="B18" s="9" t="s">
        <v>75</v>
      </c>
      <c r="C18" s="17" t="s">
        <v>310</v>
      </c>
      <c r="D18" s="12">
        <f>'3-13'!F23</f>
        <v>0</v>
      </c>
    </row>
    <row r="19" spans="1:4">
      <c r="A19" s="17">
        <v>14</v>
      </c>
      <c r="B19" s="9" t="s">
        <v>272</v>
      </c>
      <c r="C19" s="17" t="s">
        <v>312</v>
      </c>
      <c r="D19" s="12">
        <f>'3-14'!F23</f>
        <v>0</v>
      </c>
    </row>
    <row r="20" spans="1:4">
      <c r="A20" s="17">
        <v>15</v>
      </c>
      <c r="B20" s="9" t="s">
        <v>273</v>
      </c>
      <c r="C20" s="17" t="s">
        <v>314</v>
      </c>
      <c r="D20" s="12">
        <f>'3-15'!F23</f>
        <v>0</v>
      </c>
    </row>
    <row r="21" spans="1:4">
      <c r="A21" s="17">
        <v>16</v>
      </c>
      <c r="B21" s="9" t="s">
        <v>274</v>
      </c>
      <c r="C21" s="17" t="s">
        <v>316</v>
      </c>
      <c r="D21" s="12">
        <f>'3-16'!F23</f>
        <v>0</v>
      </c>
    </row>
    <row r="22" spans="1:4">
      <c r="A22" s="17">
        <v>17</v>
      </c>
      <c r="B22" s="9" t="s">
        <v>275</v>
      </c>
      <c r="C22" s="17" t="s">
        <v>319</v>
      </c>
      <c r="D22" s="12">
        <f>'3-17'!F23</f>
        <v>0</v>
      </c>
    </row>
    <row r="23" spans="1:4">
      <c r="A23" s="17">
        <v>18</v>
      </c>
      <c r="B23" s="9" t="s">
        <v>276</v>
      </c>
      <c r="C23" s="17" t="s">
        <v>320</v>
      </c>
      <c r="D23" s="12">
        <f>'3-18'!F23</f>
        <v>0</v>
      </c>
    </row>
    <row r="24" spans="1:4">
      <c r="A24" s="17">
        <v>19</v>
      </c>
      <c r="B24" s="9" t="s">
        <v>277</v>
      </c>
      <c r="C24" s="17" t="s">
        <v>267</v>
      </c>
      <c r="D24" s="12">
        <f>'3-19'!F22</f>
        <v>0</v>
      </c>
    </row>
    <row r="25" spans="1:4">
      <c r="A25" s="17">
        <v>20</v>
      </c>
      <c r="B25" s="9" t="s">
        <v>278</v>
      </c>
      <c r="C25" s="17"/>
      <c r="D25" s="17"/>
    </row>
    <row r="26" spans="1:4">
      <c r="A26" s="17">
        <v>21</v>
      </c>
      <c r="B26" s="9" t="s">
        <v>279</v>
      </c>
      <c r="C26" s="3"/>
      <c r="D26" s="3"/>
    </row>
    <row r="27" spans="1:4">
      <c r="A27" s="17">
        <v>22</v>
      </c>
      <c r="B27" s="9" t="s">
        <v>280</v>
      </c>
      <c r="C27" s="3"/>
      <c r="D27" s="3"/>
    </row>
    <row r="28" spans="1:4">
      <c r="A28" s="17">
        <v>23</v>
      </c>
      <c r="B28" s="9" t="s">
        <v>281</v>
      </c>
      <c r="C28" s="3"/>
      <c r="D28" s="3"/>
    </row>
    <row r="29" spans="1:4">
      <c r="A29" s="17">
        <v>24</v>
      </c>
      <c r="B29" s="9" t="s">
        <v>282</v>
      </c>
      <c r="C29" s="3"/>
      <c r="D29" s="3"/>
    </row>
    <row r="30" spans="1:4">
      <c r="A30" s="17">
        <v>25</v>
      </c>
      <c r="B30" s="9" t="s">
        <v>283</v>
      </c>
      <c r="C30" s="3"/>
      <c r="D30" s="3"/>
    </row>
    <row r="31" spans="1:4">
      <c r="A31" s="17">
        <v>26</v>
      </c>
      <c r="B31" s="9" t="s">
        <v>284</v>
      </c>
      <c r="C31" s="3"/>
      <c r="D31" s="3"/>
    </row>
    <row r="32" spans="1:4">
      <c r="A32" s="17">
        <v>27</v>
      </c>
      <c r="B32" s="9" t="s">
        <v>285</v>
      </c>
      <c r="C32" s="3"/>
      <c r="D32" s="3"/>
    </row>
    <row r="33" spans="1:4">
      <c r="A33" s="3"/>
      <c r="B33" s="9"/>
      <c r="C33" s="5" t="s">
        <v>18</v>
      </c>
      <c r="D33" s="12">
        <f>SUM(D6:D32)</f>
        <v>0</v>
      </c>
    </row>
  </sheetData>
  <mergeCells count="3">
    <mergeCell ref="A1:D2"/>
    <mergeCell ref="A3:D3"/>
    <mergeCell ref="A4:D4"/>
  </mergeCells>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D41"/>
  <sheetViews>
    <sheetView zoomScale="145" zoomScaleNormal="145" workbookViewId="0">
      <selection activeCell="E18" sqref="E18"/>
    </sheetView>
  </sheetViews>
  <sheetFormatPr defaultColWidth="9.140625" defaultRowHeight="15"/>
  <cols>
    <col min="1" max="1" width="10.140625" style="6" customWidth="1"/>
    <col min="2" max="2" width="10.7109375" style="6" customWidth="1"/>
    <col min="3" max="3" width="45.7109375" style="6" customWidth="1"/>
    <col min="4" max="4" width="21" style="6" customWidth="1"/>
    <col min="5" max="16384" width="9.140625" style="6"/>
  </cols>
  <sheetData>
    <row r="1" spans="1:4" ht="15" customHeight="1">
      <c r="A1" s="57" t="s">
        <v>49</v>
      </c>
      <c r="B1" s="57"/>
      <c r="C1" s="57"/>
      <c r="D1" s="57"/>
    </row>
    <row r="2" spans="1:4">
      <c r="A2" s="57"/>
      <c r="B2" s="57"/>
      <c r="C2" s="57"/>
      <c r="D2" s="57"/>
    </row>
    <row r="3" spans="1:4">
      <c r="A3" s="50" t="s">
        <v>26</v>
      </c>
      <c r="B3" s="50"/>
      <c r="C3" s="50"/>
      <c r="D3" s="50"/>
    </row>
    <row r="4" spans="1:4">
      <c r="A4" s="58" t="s">
        <v>48</v>
      </c>
      <c r="B4" s="59"/>
      <c r="C4" s="59"/>
      <c r="D4" s="60"/>
    </row>
    <row r="5" spans="1:4" ht="45">
      <c r="A5" s="7" t="s">
        <v>27</v>
      </c>
      <c r="B5" s="8" t="s">
        <v>1</v>
      </c>
      <c r="C5" s="2" t="s">
        <v>28</v>
      </c>
      <c r="D5" s="7" t="s">
        <v>29</v>
      </c>
    </row>
    <row r="6" spans="1:4">
      <c r="A6" s="2">
        <v>1</v>
      </c>
      <c r="B6" s="9" t="s">
        <v>19</v>
      </c>
      <c r="C6" s="2" t="s">
        <v>43</v>
      </c>
      <c r="D6" s="12">
        <f>'1-1'!F11</f>
        <v>0</v>
      </c>
    </row>
    <row r="7" spans="1:4">
      <c r="A7" s="2">
        <v>2</v>
      </c>
      <c r="B7" s="9" t="s">
        <v>20</v>
      </c>
      <c r="C7" s="3" t="s">
        <v>50</v>
      </c>
      <c r="D7" s="12">
        <f>'1-2'!F20</f>
        <v>0</v>
      </c>
    </row>
    <row r="8" spans="1:4">
      <c r="A8" s="2">
        <v>3</v>
      </c>
      <c r="B8" s="9" t="s">
        <v>21</v>
      </c>
      <c r="C8" s="3" t="s">
        <v>110</v>
      </c>
      <c r="D8" s="12">
        <f>'1-3'!F23</f>
        <v>0</v>
      </c>
    </row>
    <row r="9" spans="1:4">
      <c r="A9" s="2">
        <v>4</v>
      </c>
      <c r="B9" s="9" t="s">
        <v>22</v>
      </c>
      <c r="C9" s="3" t="s">
        <v>131</v>
      </c>
      <c r="D9" s="12">
        <f>'1-4'!F23</f>
        <v>0</v>
      </c>
    </row>
    <row r="10" spans="1:4">
      <c r="A10" s="2">
        <v>5</v>
      </c>
      <c r="B10" s="9" t="s">
        <v>30</v>
      </c>
      <c r="C10" s="3" t="s">
        <v>149</v>
      </c>
      <c r="D10" s="12">
        <f>'1-5'!F23</f>
        <v>0</v>
      </c>
    </row>
    <row r="11" spans="1:4">
      <c r="A11" s="2">
        <v>6</v>
      </c>
      <c r="B11" s="9" t="s">
        <v>23</v>
      </c>
      <c r="C11" s="3" t="s">
        <v>152</v>
      </c>
      <c r="D11" s="12">
        <f>'1-6'!F23</f>
        <v>0</v>
      </c>
    </row>
    <row r="12" spans="1:4">
      <c r="A12" s="3">
        <v>7</v>
      </c>
      <c r="B12" s="9" t="s">
        <v>24</v>
      </c>
      <c r="C12" s="3" t="s">
        <v>153</v>
      </c>
      <c r="D12" s="12">
        <f>'1-7'!F23</f>
        <v>0</v>
      </c>
    </row>
    <row r="13" spans="1:4">
      <c r="A13" s="3">
        <v>8</v>
      </c>
      <c r="B13" s="9" t="s">
        <v>31</v>
      </c>
      <c r="C13" s="3" t="s">
        <v>155</v>
      </c>
      <c r="D13" s="12">
        <f>'1-8'!F23</f>
        <v>0</v>
      </c>
    </row>
    <row r="14" spans="1:4">
      <c r="A14" s="3">
        <v>9</v>
      </c>
      <c r="B14" s="9" t="s">
        <v>32</v>
      </c>
      <c r="C14" s="3" t="s">
        <v>158</v>
      </c>
      <c r="D14" s="12">
        <f>'1-9'!F23</f>
        <v>0</v>
      </c>
    </row>
    <row r="15" spans="1:4">
      <c r="A15" s="3">
        <v>10</v>
      </c>
      <c r="B15" s="9" t="s">
        <v>33</v>
      </c>
      <c r="C15" s="3" t="s">
        <v>160</v>
      </c>
      <c r="D15" s="12">
        <f>'1-10'!F23</f>
        <v>0</v>
      </c>
    </row>
    <row r="16" spans="1:4">
      <c r="A16" s="3">
        <v>11</v>
      </c>
      <c r="B16" s="9" t="s">
        <v>34</v>
      </c>
      <c r="C16" s="3" t="s">
        <v>162</v>
      </c>
      <c r="D16" s="12">
        <f>'1-11'!F23</f>
        <v>0</v>
      </c>
    </row>
    <row r="17" spans="1:4">
      <c r="A17" s="3">
        <v>12</v>
      </c>
      <c r="B17" s="9" t="s">
        <v>35</v>
      </c>
      <c r="C17" s="3" t="s">
        <v>164</v>
      </c>
      <c r="D17" s="12">
        <f>'1-12'!F23</f>
        <v>0</v>
      </c>
    </row>
    <row r="18" spans="1:4">
      <c r="A18" s="3">
        <v>13</v>
      </c>
      <c r="B18" s="9" t="s">
        <v>36</v>
      </c>
      <c r="C18" s="3" t="s">
        <v>166</v>
      </c>
      <c r="D18" s="12">
        <f>'1-13'!F23</f>
        <v>0</v>
      </c>
    </row>
    <row r="19" spans="1:4">
      <c r="A19" s="3">
        <v>14</v>
      </c>
      <c r="B19" s="9" t="s">
        <v>132</v>
      </c>
      <c r="C19" s="3" t="s">
        <v>168</v>
      </c>
      <c r="D19" s="12">
        <f>'1-14'!F23</f>
        <v>0</v>
      </c>
    </row>
    <row r="20" spans="1:4">
      <c r="A20" s="3">
        <v>15</v>
      </c>
      <c r="B20" s="9" t="s">
        <v>133</v>
      </c>
      <c r="C20" s="3" t="s">
        <v>170</v>
      </c>
      <c r="D20" s="12">
        <f>'1-15'!F23</f>
        <v>0</v>
      </c>
    </row>
    <row r="21" spans="1:4">
      <c r="A21" s="3">
        <v>16</v>
      </c>
      <c r="B21" s="9" t="s">
        <v>134</v>
      </c>
      <c r="C21" s="3" t="s">
        <v>172</v>
      </c>
      <c r="D21" s="12">
        <f>'1-16'!F23</f>
        <v>0</v>
      </c>
    </row>
    <row r="22" spans="1:4">
      <c r="A22" s="3">
        <v>17</v>
      </c>
      <c r="B22" s="9" t="s">
        <v>135</v>
      </c>
      <c r="C22" s="3" t="s">
        <v>174</v>
      </c>
      <c r="D22" s="12">
        <f>'1-17'!F23</f>
        <v>0</v>
      </c>
    </row>
    <row r="23" spans="1:4">
      <c r="A23" s="3">
        <v>18</v>
      </c>
      <c r="B23" s="9" t="s">
        <v>136</v>
      </c>
      <c r="C23" s="3" t="s">
        <v>176</v>
      </c>
      <c r="D23" s="12">
        <f>'1-18'!F23</f>
        <v>0</v>
      </c>
    </row>
    <row r="24" spans="1:4">
      <c r="A24" s="3">
        <v>19</v>
      </c>
      <c r="B24" s="9" t="s">
        <v>137</v>
      </c>
      <c r="C24" s="3" t="s">
        <v>178</v>
      </c>
      <c r="D24" s="12">
        <f>'1-19'!F23</f>
        <v>0</v>
      </c>
    </row>
    <row r="25" spans="1:4">
      <c r="A25" s="3">
        <v>20</v>
      </c>
      <c r="B25" s="9" t="s">
        <v>138</v>
      </c>
      <c r="C25" s="3"/>
      <c r="D25" s="3"/>
    </row>
    <row r="26" spans="1:4">
      <c r="A26" s="3">
        <v>21</v>
      </c>
      <c r="B26" s="9" t="s">
        <v>139</v>
      </c>
      <c r="C26" s="3"/>
      <c r="D26" s="3"/>
    </row>
    <row r="27" spans="1:4">
      <c r="A27" s="3">
        <v>22</v>
      </c>
      <c r="B27" s="9" t="s">
        <v>140</v>
      </c>
      <c r="C27" s="3"/>
      <c r="D27" s="3"/>
    </row>
    <row r="28" spans="1:4">
      <c r="A28" s="3">
        <v>23</v>
      </c>
      <c r="B28" s="9" t="s">
        <v>141</v>
      </c>
      <c r="C28" s="3"/>
      <c r="D28" s="3"/>
    </row>
    <row r="29" spans="1:4">
      <c r="A29" s="3">
        <v>24</v>
      </c>
      <c r="B29" s="9" t="s">
        <v>142</v>
      </c>
      <c r="C29" s="2"/>
      <c r="D29" s="2"/>
    </row>
    <row r="30" spans="1:4">
      <c r="A30" s="3">
        <v>25</v>
      </c>
      <c r="B30" s="9" t="s">
        <v>143</v>
      </c>
      <c r="C30" s="2"/>
      <c r="D30" s="2"/>
    </row>
    <row r="31" spans="1:4">
      <c r="A31" s="3">
        <v>26</v>
      </c>
      <c r="B31" s="9" t="s">
        <v>144</v>
      </c>
      <c r="C31" s="2"/>
      <c r="D31" s="2"/>
    </row>
    <row r="32" spans="1:4">
      <c r="A32" s="3">
        <v>27</v>
      </c>
      <c r="B32" s="9" t="s">
        <v>145</v>
      </c>
      <c r="C32" s="2"/>
      <c r="D32" s="2"/>
    </row>
    <row r="33" spans="1:4">
      <c r="A33" s="3">
        <v>28</v>
      </c>
      <c r="B33" s="9" t="s">
        <v>146</v>
      </c>
      <c r="C33" s="2"/>
      <c r="D33" s="2"/>
    </row>
    <row r="34" spans="1:4">
      <c r="A34" s="2"/>
      <c r="B34" s="9"/>
      <c r="C34" s="5" t="s">
        <v>18</v>
      </c>
      <c r="D34" s="12">
        <f>SUM(D6:D33)</f>
        <v>0</v>
      </c>
    </row>
    <row r="35" spans="1:4">
      <c r="B35" s="10"/>
    </row>
    <row r="36" spans="1:4">
      <c r="B36" s="10"/>
    </row>
    <row r="37" spans="1:4">
      <c r="B37" s="10"/>
    </row>
    <row r="38" spans="1:4">
      <c r="B38" s="10"/>
    </row>
    <row r="39" spans="1:4">
      <c r="B39" s="10"/>
    </row>
    <row r="40" spans="1:4">
      <c r="B40" s="10"/>
    </row>
    <row r="41" spans="1:4">
      <c r="B41" s="10"/>
    </row>
  </sheetData>
  <mergeCells count="3">
    <mergeCell ref="A1:D2"/>
    <mergeCell ref="A3:D3"/>
    <mergeCell ref="A4:D4"/>
  </mergeCells>
  <phoneticPr fontId="8" type="noConversion"/>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16"/>
  <sheetViews>
    <sheetView topLeftCell="C1" workbookViewId="0">
      <selection activeCell="B20" sqref="B20"/>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288</v>
      </c>
      <c r="B3" s="64"/>
      <c r="C3" s="64"/>
      <c r="D3" s="64"/>
      <c r="E3" s="64"/>
      <c r="F3" s="64"/>
    </row>
    <row r="4" spans="1:6">
      <c r="A4" s="63" t="s">
        <v>60</v>
      </c>
      <c r="B4" s="64"/>
      <c r="C4" s="64"/>
      <c r="D4" s="64"/>
      <c r="E4" s="64"/>
      <c r="F4" s="64"/>
    </row>
    <row r="5" spans="1:6">
      <c r="A5" s="65" t="s">
        <v>43</v>
      </c>
      <c r="B5" s="66"/>
      <c r="C5" s="66"/>
      <c r="D5" s="66"/>
      <c r="E5" s="66"/>
      <c r="F5" s="66"/>
    </row>
    <row r="6" spans="1:6">
      <c r="A6" s="13" t="s">
        <v>1</v>
      </c>
      <c r="B6" s="14" t="s">
        <v>37</v>
      </c>
      <c r="C6" s="14" t="s">
        <v>38</v>
      </c>
      <c r="D6" s="15" t="s">
        <v>39</v>
      </c>
      <c r="E6" s="14" t="s">
        <v>40</v>
      </c>
      <c r="F6" s="14" t="s">
        <v>41</v>
      </c>
    </row>
    <row r="7" spans="1:6">
      <c r="A7" s="3">
        <v>1</v>
      </c>
      <c r="B7" s="9" t="s">
        <v>44</v>
      </c>
      <c r="C7" s="3" t="s">
        <v>45</v>
      </c>
      <c r="D7" s="3">
        <v>54</v>
      </c>
      <c r="E7" s="3"/>
      <c r="F7" s="12"/>
    </row>
    <row r="8" spans="1:6" ht="30">
      <c r="A8" s="3">
        <v>2</v>
      </c>
      <c r="B8" s="11" t="s">
        <v>98</v>
      </c>
      <c r="C8" s="3" t="s">
        <v>46</v>
      </c>
      <c r="D8" s="3">
        <f>29000*0.36</f>
        <v>10440</v>
      </c>
      <c r="E8" s="3"/>
      <c r="F8" s="12"/>
    </row>
    <row r="9" spans="1:6" ht="30">
      <c r="A9" s="3">
        <v>3</v>
      </c>
      <c r="B9" s="7" t="s">
        <v>97</v>
      </c>
      <c r="C9" s="3" t="s">
        <v>47</v>
      </c>
      <c r="D9" s="3">
        <f>29000*0.33*0.8</f>
        <v>7656</v>
      </c>
      <c r="E9" s="3"/>
      <c r="F9" s="12"/>
    </row>
    <row r="10" spans="1:6">
      <c r="A10" s="3">
        <v>4</v>
      </c>
      <c r="B10" s="3" t="s">
        <v>96</v>
      </c>
      <c r="C10" s="3" t="s">
        <v>46</v>
      </c>
      <c r="D10" s="3">
        <f>29000*0.8</f>
        <v>23200</v>
      </c>
      <c r="E10" s="3"/>
      <c r="F10" s="12"/>
    </row>
    <row r="11" spans="1:6">
      <c r="A11" s="3"/>
      <c r="B11" s="4" t="s">
        <v>18</v>
      </c>
      <c r="C11" s="3"/>
      <c r="D11" s="3"/>
      <c r="E11" s="3"/>
      <c r="F11" s="16">
        <f>SUM(F7:F10)</f>
        <v>0</v>
      </c>
    </row>
    <row r="16" spans="1:6">
      <c r="F16" s="20"/>
    </row>
  </sheetData>
  <mergeCells count="4">
    <mergeCell ref="A1:F2"/>
    <mergeCell ref="A3:F3"/>
    <mergeCell ref="A4:F4"/>
    <mergeCell ref="A5:F5"/>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0"/>
  <sheetViews>
    <sheetView topLeftCell="C4" workbookViewId="0">
      <selection activeCell="H26" sqref="H26"/>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287</v>
      </c>
      <c r="B3" s="64"/>
      <c r="C3" s="64"/>
      <c r="D3" s="64"/>
      <c r="E3" s="64"/>
      <c r="F3" s="64"/>
    </row>
    <row r="4" spans="1:6">
      <c r="A4" s="63" t="s">
        <v>60</v>
      </c>
      <c r="B4" s="64"/>
      <c r="C4" s="64"/>
      <c r="D4" s="64"/>
      <c r="E4" s="64"/>
      <c r="F4" s="64"/>
    </row>
    <row r="5" spans="1:6">
      <c r="A5" s="65" t="s">
        <v>50</v>
      </c>
      <c r="B5" s="66"/>
      <c r="C5" s="66"/>
      <c r="D5" s="66"/>
      <c r="E5" s="66"/>
      <c r="F5" s="66"/>
    </row>
    <row r="6" spans="1:6">
      <c r="A6" s="13" t="s">
        <v>1</v>
      </c>
      <c r="B6" s="14" t="s">
        <v>37</v>
      </c>
      <c r="C6" s="14" t="s">
        <v>38</v>
      </c>
      <c r="D6" s="15" t="s">
        <v>39</v>
      </c>
      <c r="E6" s="14" t="s">
        <v>40</v>
      </c>
      <c r="F6" s="14" t="s">
        <v>41</v>
      </c>
    </row>
    <row r="7" spans="1:6">
      <c r="A7" s="3">
        <v>1</v>
      </c>
      <c r="B7" s="18" t="s">
        <v>56</v>
      </c>
      <c r="C7" s="19" t="s">
        <v>47</v>
      </c>
      <c r="D7" s="3">
        <f>D8*0.5*0.5*0.5</f>
        <v>5.75</v>
      </c>
      <c r="E7" s="3"/>
      <c r="F7" s="12"/>
    </row>
    <row r="8" spans="1:6" ht="30">
      <c r="A8" s="3">
        <v>2</v>
      </c>
      <c r="B8" s="18" t="s">
        <v>57</v>
      </c>
      <c r="C8" s="3" t="s">
        <v>51</v>
      </c>
      <c r="D8" s="3">
        <v>46</v>
      </c>
      <c r="E8" s="3"/>
      <c r="F8" s="12"/>
    </row>
    <row r="9" spans="1:6">
      <c r="A9" s="3">
        <v>3</v>
      </c>
      <c r="B9" s="18" t="s">
        <v>58</v>
      </c>
      <c r="C9" s="3" t="s">
        <v>47</v>
      </c>
      <c r="D9" s="3">
        <f>D7</f>
        <v>5.75</v>
      </c>
      <c r="E9" s="3"/>
      <c r="F9" s="12"/>
    </row>
    <row r="10" spans="1:6">
      <c r="A10" s="3">
        <v>4</v>
      </c>
      <c r="B10" s="18" t="s">
        <v>108</v>
      </c>
      <c r="C10" s="3" t="s">
        <v>51</v>
      </c>
      <c r="D10" s="3">
        <v>12</v>
      </c>
      <c r="E10" s="3"/>
      <c r="F10" s="12"/>
    </row>
    <row r="11" spans="1:6">
      <c r="A11" s="3">
        <v>5</v>
      </c>
      <c r="B11" s="18" t="s">
        <v>102</v>
      </c>
      <c r="C11" s="3" t="s">
        <v>51</v>
      </c>
      <c r="D11" s="3">
        <v>14</v>
      </c>
      <c r="E11" s="3"/>
      <c r="F11" s="12"/>
    </row>
    <row r="12" spans="1:6">
      <c r="A12" s="3">
        <v>6</v>
      </c>
      <c r="B12" s="18" t="s">
        <v>53</v>
      </c>
      <c r="C12" s="3" t="s">
        <v>51</v>
      </c>
      <c r="D12" s="3">
        <v>76</v>
      </c>
      <c r="E12" s="3"/>
      <c r="F12" s="12"/>
    </row>
    <row r="13" spans="1:6">
      <c r="A13" s="3">
        <v>7</v>
      </c>
      <c r="B13" s="18" t="s">
        <v>106</v>
      </c>
      <c r="C13" s="3" t="s">
        <v>51</v>
      </c>
      <c r="D13" s="3">
        <f>D8</f>
        <v>46</v>
      </c>
      <c r="E13" s="3"/>
      <c r="F13" s="12"/>
    </row>
    <row r="14" spans="1:6">
      <c r="A14" s="3">
        <v>8</v>
      </c>
      <c r="B14" s="18" t="s">
        <v>104</v>
      </c>
      <c r="C14" s="3" t="s">
        <v>51</v>
      </c>
      <c r="D14" s="3">
        <v>8</v>
      </c>
      <c r="E14" s="3"/>
      <c r="F14" s="12"/>
    </row>
    <row r="15" spans="1:6">
      <c r="A15" s="3">
        <v>9</v>
      </c>
      <c r="B15" s="18" t="s">
        <v>105</v>
      </c>
      <c r="C15" s="3" t="s">
        <v>51</v>
      </c>
      <c r="D15" s="3">
        <v>0</v>
      </c>
      <c r="E15" s="3"/>
      <c r="F15" s="12"/>
    </row>
    <row r="16" spans="1:6">
      <c r="A16" s="3">
        <v>10</v>
      </c>
      <c r="B16" s="18" t="s">
        <v>54</v>
      </c>
      <c r="C16" s="3" t="s">
        <v>51</v>
      </c>
      <c r="D16" s="3">
        <f>(D10+D11+D14+D15+D13+D12)*2</f>
        <v>312</v>
      </c>
      <c r="E16" s="3"/>
      <c r="F16" s="12"/>
    </row>
    <row r="17" spans="1:6">
      <c r="A17" s="3">
        <v>11</v>
      </c>
      <c r="B17" s="18" t="s">
        <v>55</v>
      </c>
      <c r="C17" s="3" t="s">
        <v>51</v>
      </c>
      <c r="D17" s="3">
        <f>D16*2</f>
        <v>624</v>
      </c>
      <c r="E17" s="3"/>
      <c r="F17" s="12"/>
    </row>
    <row r="18" spans="1:6" ht="30">
      <c r="A18" s="3">
        <v>12</v>
      </c>
      <c r="B18" s="18" t="s">
        <v>109</v>
      </c>
      <c r="C18" s="3" t="s">
        <v>51</v>
      </c>
      <c r="D18" s="3">
        <v>6</v>
      </c>
      <c r="E18" s="3"/>
      <c r="F18" s="12"/>
    </row>
    <row r="19" spans="1:6" ht="45">
      <c r="A19" s="3">
        <v>13</v>
      </c>
      <c r="B19" s="22" t="s">
        <v>126</v>
      </c>
      <c r="C19" s="23" t="s">
        <v>51</v>
      </c>
      <c r="D19" s="23">
        <f>D8</f>
        <v>46</v>
      </c>
      <c r="E19" s="23"/>
      <c r="F19" s="24"/>
    </row>
    <row r="20" spans="1:6">
      <c r="A20" s="25"/>
      <c r="B20" s="4" t="s">
        <v>18</v>
      </c>
      <c r="C20" s="25"/>
      <c r="D20" s="25"/>
      <c r="E20" s="25"/>
      <c r="F20" s="16">
        <f>SUM(F7:F19)</f>
        <v>0</v>
      </c>
    </row>
  </sheetData>
  <mergeCells count="4">
    <mergeCell ref="A1:F2"/>
    <mergeCell ref="A3:F3"/>
    <mergeCell ref="A4:F4"/>
    <mergeCell ref="A5:F5"/>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D4" workbookViewId="0">
      <selection activeCell="H26" sqref="H26"/>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ht="15" customHeight="1">
      <c r="A1" s="61" t="s">
        <v>49</v>
      </c>
      <c r="B1" s="62"/>
      <c r="C1" s="62"/>
      <c r="D1" s="62"/>
      <c r="E1" s="62"/>
      <c r="F1" s="62"/>
    </row>
    <row r="2" spans="1:6">
      <c r="A2" s="61"/>
      <c r="B2" s="62"/>
      <c r="C2" s="62"/>
      <c r="D2" s="62"/>
      <c r="E2" s="62"/>
      <c r="F2" s="62"/>
    </row>
    <row r="3" spans="1:6">
      <c r="A3" s="63" t="s">
        <v>286</v>
      </c>
      <c r="B3" s="64"/>
      <c r="C3" s="64"/>
      <c r="D3" s="64"/>
      <c r="E3" s="64"/>
      <c r="F3" s="64"/>
    </row>
    <row r="4" spans="1:6">
      <c r="A4" s="63" t="s">
        <v>60</v>
      </c>
      <c r="B4" s="64"/>
      <c r="C4" s="64"/>
      <c r="D4" s="64"/>
      <c r="E4" s="64"/>
      <c r="F4" s="64"/>
    </row>
    <row r="5" spans="1:6">
      <c r="A5" s="65" t="s">
        <v>289</v>
      </c>
      <c r="B5" s="66"/>
      <c r="C5" s="66"/>
      <c r="D5" s="66"/>
      <c r="E5" s="66"/>
      <c r="F5" s="66"/>
    </row>
    <row r="6" spans="1:6">
      <c r="A6" s="13" t="s">
        <v>1</v>
      </c>
      <c r="B6" s="14" t="s">
        <v>37</v>
      </c>
      <c r="C6" s="14" t="s">
        <v>38</v>
      </c>
      <c r="D6" s="15" t="s">
        <v>39</v>
      </c>
      <c r="E6" s="14" t="s">
        <v>40</v>
      </c>
      <c r="F6" s="14" t="s">
        <v>41</v>
      </c>
    </row>
    <row r="7" spans="1:6">
      <c r="A7" s="17">
        <v>1</v>
      </c>
      <c r="B7" s="18" t="s">
        <v>112</v>
      </c>
      <c r="C7" s="19" t="s">
        <v>47</v>
      </c>
      <c r="D7" s="17">
        <f>D8*0.5*1*1</f>
        <v>4</v>
      </c>
      <c r="E7" s="17"/>
      <c r="F7" s="12"/>
    </row>
    <row r="8" spans="1:6">
      <c r="A8" s="17">
        <v>2</v>
      </c>
      <c r="B8" s="18" t="s">
        <v>113</v>
      </c>
      <c r="C8" s="17" t="s">
        <v>47</v>
      </c>
      <c r="D8" s="17">
        <v>8</v>
      </c>
      <c r="E8" s="17"/>
      <c r="F8" s="12"/>
    </row>
    <row r="9" spans="1:6">
      <c r="A9" s="28">
        <v>3</v>
      </c>
      <c r="B9" s="18" t="s">
        <v>114</v>
      </c>
      <c r="C9" s="17" t="s">
        <v>47</v>
      </c>
      <c r="D9" s="17">
        <v>0.48</v>
      </c>
      <c r="E9" s="17"/>
      <c r="F9" s="12"/>
    </row>
    <row r="10" spans="1:6">
      <c r="A10" s="28">
        <v>4</v>
      </c>
      <c r="B10" s="21" t="s">
        <v>116</v>
      </c>
      <c r="C10" s="17" t="s">
        <v>115</v>
      </c>
      <c r="D10" s="17">
        <f>8.76*2</f>
        <v>17.52</v>
      </c>
      <c r="E10" s="17"/>
      <c r="F10" s="12"/>
    </row>
    <row r="11" spans="1:6">
      <c r="A11" s="28">
        <v>5</v>
      </c>
      <c r="B11" s="18" t="s">
        <v>117</v>
      </c>
      <c r="C11" s="17" t="s">
        <v>118</v>
      </c>
      <c r="D11" s="17">
        <v>1.131</v>
      </c>
      <c r="E11" s="17"/>
      <c r="F11" s="12"/>
    </row>
    <row r="12" spans="1:6">
      <c r="A12" s="28">
        <v>6</v>
      </c>
      <c r="B12" s="18" t="s">
        <v>123</v>
      </c>
      <c r="C12" s="17" t="s">
        <v>52</v>
      </c>
      <c r="D12" s="17">
        <v>60</v>
      </c>
      <c r="E12" s="17"/>
      <c r="F12" s="12"/>
    </row>
    <row r="13" spans="1:6">
      <c r="A13" s="28">
        <v>7</v>
      </c>
      <c r="B13" s="18" t="s">
        <v>130</v>
      </c>
      <c r="C13" s="17" t="s">
        <v>46</v>
      </c>
      <c r="D13" s="17">
        <f>D16*0.78</f>
        <v>12.48</v>
      </c>
      <c r="E13" s="17"/>
      <c r="F13" s="12"/>
    </row>
    <row r="14" spans="1:6">
      <c r="A14" s="28">
        <v>8</v>
      </c>
      <c r="B14" s="18" t="s">
        <v>120</v>
      </c>
      <c r="C14" s="17" t="s">
        <v>119</v>
      </c>
      <c r="D14" s="17">
        <f>197*2+4*4</f>
        <v>410</v>
      </c>
      <c r="E14" s="17"/>
      <c r="F14" s="12"/>
    </row>
    <row r="15" spans="1:6">
      <c r="A15" s="28">
        <v>9</v>
      </c>
      <c r="B15" s="21" t="s">
        <v>121</v>
      </c>
      <c r="C15" s="17" t="s">
        <v>51</v>
      </c>
      <c r="D15" s="17">
        <v>654</v>
      </c>
      <c r="E15" s="17"/>
      <c r="F15" s="12"/>
    </row>
    <row r="16" spans="1:6" ht="30">
      <c r="A16" s="28">
        <v>10</v>
      </c>
      <c r="B16" s="18" t="s">
        <v>122</v>
      </c>
      <c r="C16" s="17" t="s">
        <v>115</v>
      </c>
      <c r="D16" s="17">
        <v>16</v>
      </c>
      <c r="E16" s="17"/>
      <c r="F16" s="12"/>
    </row>
    <row r="17" spans="1:6">
      <c r="A17" s="28">
        <v>11</v>
      </c>
      <c r="B17" s="18" t="s">
        <v>124</v>
      </c>
      <c r="C17" s="17" t="s">
        <v>118</v>
      </c>
      <c r="D17" s="17">
        <f>D11+(D9*2.5)</f>
        <v>2.331</v>
      </c>
      <c r="E17" s="17"/>
      <c r="F17" s="12"/>
    </row>
    <row r="18" spans="1:6">
      <c r="A18" s="28">
        <v>12</v>
      </c>
      <c r="B18" s="21" t="s">
        <v>125</v>
      </c>
      <c r="C18" s="17" t="s">
        <v>118</v>
      </c>
      <c r="D18" s="17">
        <f>D17</f>
        <v>2.331</v>
      </c>
      <c r="E18" s="17"/>
      <c r="F18" s="12"/>
    </row>
    <row r="19" spans="1:6">
      <c r="A19" s="28">
        <v>13</v>
      </c>
      <c r="B19" s="18" t="s">
        <v>127</v>
      </c>
      <c r="C19" s="17" t="s">
        <v>128</v>
      </c>
      <c r="D19" s="17">
        <v>50</v>
      </c>
      <c r="E19" s="17"/>
      <c r="F19" s="12"/>
    </row>
    <row r="20" spans="1:6">
      <c r="A20" s="28">
        <v>14</v>
      </c>
      <c r="B20" s="18" t="s">
        <v>386</v>
      </c>
      <c r="C20" s="28" t="s">
        <v>118</v>
      </c>
      <c r="D20" s="28">
        <f>D11</f>
        <v>1.131</v>
      </c>
      <c r="E20" s="28"/>
      <c r="F20" s="12"/>
    </row>
    <row r="21" spans="1:6">
      <c r="A21" s="28">
        <v>15</v>
      </c>
      <c r="B21" s="18" t="s">
        <v>150</v>
      </c>
      <c r="C21" s="6" t="s">
        <v>51</v>
      </c>
      <c r="D21" s="17">
        <v>2</v>
      </c>
      <c r="E21" s="17"/>
      <c r="F21" s="12"/>
    </row>
    <row r="22" spans="1:6">
      <c r="A22" s="28">
        <v>16</v>
      </c>
      <c r="B22" s="18" t="s">
        <v>129</v>
      </c>
      <c r="C22" s="17" t="s">
        <v>115</v>
      </c>
      <c r="D22" s="17">
        <f>D16</f>
        <v>16</v>
      </c>
      <c r="E22" s="17"/>
      <c r="F22" s="12"/>
    </row>
    <row r="23" spans="1:6">
      <c r="A23" s="17"/>
      <c r="B23" s="4" t="s">
        <v>18</v>
      </c>
      <c r="C23" s="17"/>
      <c r="D23" s="17"/>
      <c r="E23" s="17"/>
      <c r="F23" s="16">
        <f>SUM(F7:F22)</f>
        <v>0</v>
      </c>
    </row>
  </sheetData>
  <mergeCells count="4">
    <mergeCell ref="A1:F2"/>
    <mergeCell ref="A3:F3"/>
    <mergeCell ref="A4:F4"/>
    <mergeCell ref="A5:F5"/>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C4" workbookViewId="0">
      <selection activeCell="H26" sqref="H26"/>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ht="15" customHeight="1">
      <c r="A1" s="61" t="s">
        <v>49</v>
      </c>
      <c r="B1" s="62"/>
      <c r="C1" s="62"/>
      <c r="D1" s="62"/>
      <c r="E1" s="62"/>
      <c r="F1" s="62"/>
    </row>
    <row r="2" spans="1:6">
      <c r="A2" s="61"/>
      <c r="B2" s="62"/>
      <c r="C2" s="62"/>
      <c r="D2" s="62"/>
      <c r="E2" s="62"/>
      <c r="F2" s="62"/>
    </row>
    <row r="3" spans="1:6">
      <c r="A3" s="63" t="s">
        <v>290</v>
      </c>
      <c r="B3" s="64"/>
      <c r="C3" s="64"/>
      <c r="D3" s="64"/>
      <c r="E3" s="64"/>
      <c r="F3" s="64"/>
    </row>
    <row r="4" spans="1:6">
      <c r="A4" s="63" t="s">
        <v>60</v>
      </c>
      <c r="B4" s="64"/>
      <c r="C4" s="64"/>
      <c r="D4" s="64"/>
      <c r="E4" s="64"/>
      <c r="F4" s="64"/>
    </row>
    <row r="5" spans="1:6">
      <c r="A5" s="65" t="s">
        <v>291</v>
      </c>
      <c r="B5" s="66"/>
      <c r="C5" s="66"/>
      <c r="D5" s="66"/>
      <c r="E5" s="66"/>
      <c r="F5" s="66"/>
    </row>
    <row r="6" spans="1:6">
      <c r="A6" s="13" t="s">
        <v>1</v>
      </c>
      <c r="B6" s="14" t="s">
        <v>37</v>
      </c>
      <c r="C6" s="14" t="s">
        <v>38</v>
      </c>
      <c r="D6" s="15" t="s">
        <v>39</v>
      </c>
      <c r="E6" s="14" t="s">
        <v>40</v>
      </c>
      <c r="F6" s="14" t="s">
        <v>41</v>
      </c>
    </row>
    <row r="7" spans="1:6">
      <c r="A7" s="17">
        <v>1</v>
      </c>
      <c r="B7" s="18" t="s">
        <v>112</v>
      </c>
      <c r="C7" s="19" t="s">
        <v>47</v>
      </c>
      <c r="D7" s="17">
        <f>D8*0.5*1*1</f>
        <v>4</v>
      </c>
      <c r="E7" s="17"/>
      <c r="F7" s="12"/>
    </row>
    <row r="8" spans="1:6">
      <c r="A8" s="17">
        <v>2</v>
      </c>
      <c r="B8" s="18" t="s">
        <v>113</v>
      </c>
      <c r="C8" s="17" t="s">
        <v>47</v>
      </c>
      <c r="D8" s="17">
        <v>8</v>
      </c>
      <c r="E8" s="17"/>
      <c r="F8" s="12"/>
    </row>
    <row r="9" spans="1:6">
      <c r="A9" s="28">
        <v>3</v>
      </c>
      <c r="B9" s="18" t="s">
        <v>114</v>
      </c>
      <c r="C9" s="17" t="s">
        <v>47</v>
      </c>
      <c r="D9" s="17">
        <v>0.48</v>
      </c>
      <c r="E9" s="17"/>
      <c r="F9" s="12"/>
    </row>
    <row r="10" spans="1:6">
      <c r="A10" s="28">
        <v>4</v>
      </c>
      <c r="B10" s="21" t="s">
        <v>116</v>
      </c>
      <c r="C10" s="17" t="s">
        <v>115</v>
      </c>
      <c r="D10" s="17">
        <f>8.76*2</f>
        <v>17.52</v>
      </c>
      <c r="E10" s="17"/>
      <c r="F10" s="12"/>
    </row>
    <row r="11" spans="1:6">
      <c r="A11" s="28">
        <v>5</v>
      </c>
      <c r="B11" s="18" t="s">
        <v>117</v>
      </c>
      <c r="C11" s="17" t="s">
        <v>118</v>
      </c>
      <c r="D11" s="17">
        <v>1.131</v>
      </c>
      <c r="E11" s="17"/>
      <c r="F11" s="12"/>
    </row>
    <row r="12" spans="1:6">
      <c r="A12" s="28">
        <v>6</v>
      </c>
      <c r="B12" s="18" t="s">
        <v>123</v>
      </c>
      <c r="C12" s="17" t="s">
        <v>52</v>
      </c>
      <c r="D12" s="17">
        <v>60</v>
      </c>
      <c r="E12" s="17"/>
      <c r="F12" s="12"/>
    </row>
    <row r="13" spans="1:6">
      <c r="A13" s="28">
        <v>7</v>
      </c>
      <c r="B13" s="18" t="s">
        <v>130</v>
      </c>
      <c r="C13" s="17" t="s">
        <v>46</v>
      </c>
      <c r="D13" s="17">
        <f>D16*0.78</f>
        <v>12.48</v>
      </c>
      <c r="E13" s="17"/>
      <c r="F13" s="12"/>
    </row>
    <row r="14" spans="1:6">
      <c r="A14" s="28">
        <v>8</v>
      </c>
      <c r="B14" s="18" t="s">
        <v>120</v>
      </c>
      <c r="C14" s="17" t="s">
        <v>119</v>
      </c>
      <c r="D14" s="17">
        <f>197*2+4*4</f>
        <v>410</v>
      </c>
      <c r="E14" s="17"/>
      <c r="F14" s="12"/>
    </row>
    <row r="15" spans="1:6">
      <c r="A15" s="28">
        <v>9</v>
      </c>
      <c r="B15" s="21" t="s">
        <v>121</v>
      </c>
      <c r="C15" s="17" t="s">
        <v>51</v>
      </c>
      <c r="D15" s="17">
        <v>654</v>
      </c>
      <c r="E15" s="17"/>
      <c r="F15" s="12"/>
    </row>
    <row r="16" spans="1:6" ht="30">
      <c r="A16" s="28">
        <v>10</v>
      </c>
      <c r="B16" s="18" t="s">
        <v>122</v>
      </c>
      <c r="C16" s="17" t="s">
        <v>115</v>
      </c>
      <c r="D16" s="17">
        <v>16</v>
      </c>
      <c r="E16" s="17"/>
      <c r="F16" s="12"/>
    </row>
    <row r="17" spans="1:6">
      <c r="A17" s="28">
        <v>11</v>
      </c>
      <c r="B17" s="18" t="s">
        <v>124</v>
      </c>
      <c r="C17" s="17" t="s">
        <v>118</v>
      </c>
      <c r="D17" s="17">
        <f>D11+(D9*2.5)</f>
        <v>2.331</v>
      </c>
      <c r="E17" s="17"/>
      <c r="F17" s="12"/>
    </row>
    <row r="18" spans="1:6">
      <c r="A18" s="28">
        <v>12</v>
      </c>
      <c r="B18" s="21" t="s">
        <v>125</v>
      </c>
      <c r="C18" s="17" t="s">
        <v>118</v>
      </c>
      <c r="D18" s="17">
        <f>D17</f>
        <v>2.331</v>
      </c>
      <c r="E18" s="17"/>
      <c r="F18" s="12"/>
    </row>
    <row r="19" spans="1:6">
      <c r="A19" s="28">
        <v>13</v>
      </c>
      <c r="B19" s="18" t="s">
        <v>127</v>
      </c>
      <c r="C19" s="17" t="s">
        <v>128</v>
      </c>
      <c r="D19" s="17">
        <v>50</v>
      </c>
      <c r="E19" s="17"/>
      <c r="F19" s="12"/>
    </row>
    <row r="20" spans="1:6">
      <c r="A20" s="28">
        <v>14</v>
      </c>
      <c r="B20" s="18" t="s">
        <v>386</v>
      </c>
      <c r="C20" s="28" t="s">
        <v>118</v>
      </c>
      <c r="D20" s="28">
        <f>D11</f>
        <v>1.131</v>
      </c>
      <c r="E20" s="28"/>
      <c r="F20" s="12"/>
    </row>
    <row r="21" spans="1:6">
      <c r="A21" s="28">
        <v>15</v>
      </c>
      <c r="B21" s="18" t="s">
        <v>150</v>
      </c>
      <c r="C21" s="6" t="s">
        <v>51</v>
      </c>
      <c r="D21" s="17">
        <v>2</v>
      </c>
      <c r="E21" s="17"/>
      <c r="F21" s="12"/>
    </row>
    <row r="22" spans="1:6">
      <c r="A22" s="28">
        <v>16</v>
      </c>
      <c r="B22" s="18" t="s">
        <v>129</v>
      </c>
      <c r="C22" s="17" t="s">
        <v>115</v>
      </c>
      <c r="D22" s="17">
        <f>D16</f>
        <v>16</v>
      </c>
      <c r="E22" s="17"/>
      <c r="F22" s="12"/>
    </row>
    <row r="23" spans="1:6">
      <c r="A23" s="17"/>
      <c r="B23" s="4" t="s">
        <v>18</v>
      </c>
      <c r="C23" s="17"/>
      <c r="D23" s="17"/>
      <c r="E23" s="17"/>
      <c r="F23" s="16">
        <f>SUM(F7:F22)</f>
        <v>0</v>
      </c>
    </row>
  </sheetData>
  <mergeCells count="4">
    <mergeCell ref="A1:F2"/>
    <mergeCell ref="A3:F3"/>
    <mergeCell ref="A4:F4"/>
    <mergeCell ref="A5:F5"/>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G23"/>
  <sheetViews>
    <sheetView zoomScale="85" zoomScaleNormal="85" workbookViewId="0">
      <selection activeCell="H26" sqref="H26"/>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7" ht="15" customHeight="1">
      <c r="A1" s="61" t="s">
        <v>49</v>
      </c>
      <c r="B1" s="62"/>
      <c r="C1" s="62"/>
      <c r="D1" s="62"/>
      <c r="E1" s="62"/>
      <c r="F1" s="62"/>
      <c r="G1" t="s">
        <v>292</v>
      </c>
    </row>
    <row r="2" spans="1:7">
      <c r="A2" s="61"/>
      <c r="B2" s="62"/>
      <c r="C2" s="62"/>
      <c r="D2" s="62"/>
      <c r="E2" s="62"/>
      <c r="F2" s="62"/>
    </row>
    <row r="3" spans="1:7">
      <c r="A3" s="63" t="s">
        <v>294</v>
      </c>
      <c r="B3" s="64"/>
      <c r="C3" s="64"/>
      <c r="D3" s="64"/>
      <c r="E3" s="64"/>
      <c r="F3" s="64"/>
    </row>
    <row r="4" spans="1:7">
      <c r="A4" s="63" t="s">
        <v>60</v>
      </c>
      <c r="B4" s="64"/>
      <c r="C4" s="64"/>
      <c r="D4" s="64"/>
      <c r="E4" s="64"/>
      <c r="F4" s="64"/>
    </row>
    <row r="5" spans="1:7">
      <c r="A5" s="65" t="s">
        <v>293</v>
      </c>
      <c r="B5" s="66"/>
      <c r="C5" s="66"/>
      <c r="D5" s="66"/>
      <c r="E5" s="66"/>
      <c r="F5" s="66"/>
    </row>
    <row r="6" spans="1:7">
      <c r="A6" s="13" t="s">
        <v>1</v>
      </c>
      <c r="B6" s="14" t="s">
        <v>37</v>
      </c>
      <c r="C6" s="14" t="s">
        <v>38</v>
      </c>
      <c r="D6" s="15" t="s">
        <v>39</v>
      </c>
      <c r="E6" s="14" t="s">
        <v>40</v>
      </c>
      <c r="F6" s="14" t="s">
        <v>41</v>
      </c>
    </row>
    <row r="7" spans="1:7">
      <c r="A7" s="17">
        <v>1</v>
      </c>
      <c r="B7" s="18" t="s">
        <v>112</v>
      </c>
      <c r="C7" s="19" t="s">
        <v>47</v>
      </c>
      <c r="D7" s="17">
        <v>1</v>
      </c>
      <c r="E7" s="17"/>
      <c r="F7" s="12"/>
    </row>
    <row r="8" spans="1:7">
      <c r="A8" s="17">
        <v>2</v>
      </c>
      <c r="B8" s="18" t="s">
        <v>113</v>
      </c>
      <c r="C8" s="17" t="s">
        <v>47</v>
      </c>
      <c r="D8" s="17">
        <v>0</v>
      </c>
      <c r="E8" s="17"/>
      <c r="F8" s="12"/>
    </row>
    <row r="9" spans="1:7">
      <c r="A9" s="28">
        <v>3</v>
      </c>
      <c r="B9" s="18" t="s">
        <v>114</v>
      </c>
      <c r="C9" s="17" t="s">
        <v>47</v>
      </c>
      <c r="D9" s="17">
        <v>0.48</v>
      </c>
      <c r="E9" s="17"/>
      <c r="F9" s="12"/>
    </row>
    <row r="10" spans="1:7">
      <c r="A10" s="28">
        <v>4</v>
      </c>
      <c r="B10" s="21" t="s">
        <v>116</v>
      </c>
      <c r="C10" s="17" t="s">
        <v>115</v>
      </c>
      <c r="D10" s="17">
        <f>8.76*2</f>
        <v>17.52</v>
      </c>
      <c r="E10" s="17"/>
      <c r="F10" s="12"/>
    </row>
    <row r="11" spans="1:7">
      <c r="A11" s="28">
        <v>5</v>
      </c>
      <c r="B11" s="18" t="s">
        <v>117</v>
      </c>
      <c r="C11" s="17" t="s">
        <v>118</v>
      </c>
      <c r="D11" s="17">
        <v>0.45100000000000001</v>
      </c>
      <c r="E11" s="17"/>
      <c r="F11" s="12"/>
    </row>
    <row r="12" spans="1:7">
      <c r="A12" s="28">
        <v>6</v>
      </c>
      <c r="B12" s="18" t="s">
        <v>123</v>
      </c>
      <c r="C12" s="17" t="s">
        <v>52</v>
      </c>
      <c r="D12" s="17">
        <v>27</v>
      </c>
      <c r="E12" s="17"/>
      <c r="F12" s="12"/>
    </row>
    <row r="13" spans="1:7">
      <c r="A13" s="28">
        <v>7</v>
      </c>
      <c r="B13" s="18" t="s">
        <v>130</v>
      </c>
      <c r="C13" s="17" t="s">
        <v>46</v>
      </c>
      <c r="D13" s="17">
        <f>D16*0.78</f>
        <v>4.68</v>
      </c>
      <c r="E13" s="17"/>
      <c r="F13" s="12"/>
    </row>
    <row r="14" spans="1:7">
      <c r="A14" s="28">
        <v>8</v>
      </c>
      <c r="B14" s="18" t="s">
        <v>120</v>
      </c>
      <c r="C14" s="17" t="s">
        <v>119</v>
      </c>
      <c r="D14" s="17">
        <f>81*2+4*4</f>
        <v>178</v>
      </c>
      <c r="E14" s="17"/>
      <c r="F14" s="12"/>
    </row>
    <row r="15" spans="1:7">
      <c r="A15" s="28">
        <v>9</v>
      </c>
      <c r="B15" s="21" t="s">
        <v>121</v>
      </c>
      <c r="C15" s="17" t="s">
        <v>51</v>
      </c>
      <c r="D15" s="17">
        <v>262</v>
      </c>
      <c r="E15" s="17"/>
      <c r="F15" s="12"/>
    </row>
    <row r="16" spans="1:7" ht="30">
      <c r="A16" s="28">
        <v>10</v>
      </c>
      <c r="B16" s="18" t="s">
        <v>122</v>
      </c>
      <c r="C16" s="17" t="s">
        <v>115</v>
      </c>
      <c r="D16" s="17">
        <v>6</v>
      </c>
      <c r="E16" s="17"/>
      <c r="F16" s="12"/>
    </row>
    <row r="17" spans="1:6">
      <c r="A17" s="28">
        <v>11</v>
      </c>
      <c r="B17" s="18" t="s">
        <v>124</v>
      </c>
      <c r="C17" s="17" t="s">
        <v>118</v>
      </c>
      <c r="D17" s="17">
        <f>D11+(D9*2.5)</f>
        <v>1.651</v>
      </c>
      <c r="E17" s="17"/>
      <c r="F17" s="12"/>
    </row>
    <row r="18" spans="1:6">
      <c r="A18" s="28">
        <v>12</v>
      </c>
      <c r="B18" s="21" t="s">
        <v>125</v>
      </c>
      <c r="C18" s="17" t="s">
        <v>118</v>
      </c>
      <c r="D18" s="17">
        <f>D17</f>
        <v>1.651</v>
      </c>
      <c r="E18" s="17"/>
      <c r="F18" s="12"/>
    </row>
    <row r="19" spans="1:6">
      <c r="A19" s="28">
        <v>13</v>
      </c>
      <c r="B19" s="18" t="s">
        <v>127</v>
      </c>
      <c r="C19" s="17" t="s">
        <v>128</v>
      </c>
      <c r="D19" s="17">
        <v>50</v>
      </c>
      <c r="E19" s="17"/>
      <c r="F19" s="12"/>
    </row>
    <row r="20" spans="1:6">
      <c r="A20" s="28">
        <v>14</v>
      </c>
      <c r="B20" s="18" t="s">
        <v>386</v>
      </c>
      <c r="C20" s="28" t="s">
        <v>118</v>
      </c>
      <c r="D20" s="28">
        <f>D11</f>
        <v>0.45100000000000001</v>
      </c>
      <c r="E20" s="28"/>
      <c r="F20" s="12"/>
    </row>
    <row r="21" spans="1:6">
      <c r="A21" s="28">
        <v>15</v>
      </c>
      <c r="B21" s="18" t="s">
        <v>150</v>
      </c>
      <c r="C21" s="6" t="s">
        <v>51</v>
      </c>
      <c r="D21" s="17">
        <v>2</v>
      </c>
      <c r="E21" s="17"/>
      <c r="F21" s="12"/>
    </row>
    <row r="22" spans="1:6">
      <c r="A22" s="28">
        <v>16</v>
      </c>
      <c r="B22" s="18" t="s">
        <v>129</v>
      </c>
      <c r="C22" s="17" t="s">
        <v>115</v>
      </c>
      <c r="D22" s="17">
        <f>D16</f>
        <v>6</v>
      </c>
      <c r="E22" s="17"/>
      <c r="F22" s="12"/>
    </row>
    <row r="23" spans="1:6">
      <c r="A23" s="17"/>
      <c r="B23" s="4" t="s">
        <v>18</v>
      </c>
      <c r="C23" s="17"/>
      <c r="D23" s="17"/>
      <c r="E23" s="17"/>
      <c r="F23" s="16">
        <f>SUM(F7:F22)</f>
        <v>0</v>
      </c>
    </row>
  </sheetData>
  <mergeCells count="4">
    <mergeCell ref="A1:F2"/>
    <mergeCell ref="A3:F3"/>
    <mergeCell ref="A4:F4"/>
    <mergeCell ref="A5:F5"/>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G23"/>
  <sheetViews>
    <sheetView topLeftCell="A3" workbookViewId="0">
      <selection activeCell="H26" sqref="H26"/>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7" ht="15" customHeight="1">
      <c r="A1" s="61" t="s">
        <v>49</v>
      </c>
      <c r="B1" s="62"/>
      <c r="C1" s="62"/>
      <c r="D1" s="62"/>
      <c r="E1" s="62"/>
      <c r="F1" s="62"/>
      <c r="G1" t="s">
        <v>292</v>
      </c>
    </row>
    <row r="2" spans="1:7">
      <c r="A2" s="61"/>
      <c r="B2" s="62"/>
      <c r="C2" s="62"/>
      <c r="D2" s="62"/>
      <c r="E2" s="62"/>
      <c r="F2" s="62"/>
    </row>
    <row r="3" spans="1:7">
      <c r="A3" s="63" t="s">
        <v>295</v>
      </c>
      <c r="B3" s="64"/>
      <c r="C3" s="64"/>
      <c r="D3" s="64"/>
      <c r="E3" s="64"/>
      <c r="F3" s="64"/>
    </row>
    <row r="4" spans="1:7">
      <c r="A4" s="63" t="s">
        <v>60</v>
      </c>
      <c r="B4" s="64"/>
      <c r="C4" s="64"/>
      <c r="D4" s="64"/>
      <c r="E4" s="64"/>
      <c r="F4" s="64"/>
    </row>
    <row r="5" spans="1:7">
      <c r="A5" s="65" t="s">
        <v>296</v>
      </c>
      <c r="B5" s="66"/>
      <c r="C5" s="66"/>
      <c r="D5" s="66"/>
      <c r="E5" s="66"/>
      <c r="F5" s="66"/>
    </row>
    <row r="6" spans="1:7">
      <c r="A6" s="13" t="s">
        <v>1</v>
      </c>
      <c r="B6" s="14" t="s">
        <v>37</v>
      </c>
      <c r="C6" s="14" t="s">
        <v>38</v>
      </c>
      <c r="D6" s="15" t="s">
        <v>39</v>
      </c>
      <c r="E6" s="14" t="s">
        <v>40</v>
      </c>
      <c r="F6" s="14" t="s">
        <v>41</v>
      </c>
    </row>
    <row r="7" spans="1:7">
      <c r="A7" s="17">
        <v>1</v>
      </c>
      <c r="B7" s="18" t="s">
        <v>112</v>
      </c>
      <c r="C7" s="19" t="s">
        <v>47</v>
      </c>
      <c r="D7" s="17">
        <f>D8*0.5*1*1</f>
        <v>2</v>
      </c>
      <c r="E7" s="17"/>
      <c r="F7" s="12"/>
    </row>
    <row r="8" spans="1:7">
      <c r="A8" s="17">
        <v>2</v>
      </c>
      <c r="B8" s="18" t="s">
        <v>113</v>
      </c>
      <c r="C8" s="17" t="s">
        <v>47</v>
      </c>
      <c r="D8" s="17">
        <v>4</v>
      </c>
      <c r="E8" s="17"/>
      <c r="F8" s="12"/>
    </row>
    <row r="9" spans="1:7">
      <c r="A9" s="28">
        <v>3</v>
      </c>
      <c r="B9" s="18" t="s">
        <v>114</v>
      </c>
      <c r="C9" s="17" t="s">
        <v>47</v>
      </c>
      <c r="D9" s="17">
        <v>0.48</v>
      </c>
      <c r="E9" s="17"/>
      <c r="F9" s="12"/>
    </row>
    <row r="10" spans="1:7">
      <c r="A10" s="28">
        <v>4</v>
      </c>
      <c r="B10" s="21" t="s">
        <v>116</v>
      </c>
      <c r="C10" s="17" t="s">
        <v>115</v>
      </c>
      <c r="D10" s="17">
        <f>8.76*2</f>
        <v>17.52</v>
      </c>
      <c r="E10" s="17"/>
      <c r="F10" s="12"/>
    </row>
    <row r="11" spans="1:7">
      <c r="A11" s="28">
        <v>5</v>
      </c>
      <c r="B11" s="18" t="s">
        <v>117</v>
      </c>
      <c r="C11" s="17" t="s">
        <v>118</v>
      </c>
      <c r="D11" s="17">
        <v>0.45100000000000001</v>
      </c>
      <c r="E11" s="17"/>
      <c r="F11" s="12"/>
    </row>
    <row r="12" spans="1:7">
      <c r="A12" s="28">
        <v>6</v>
      </c>
      <c r="B12" s="18" t="s">
        <v>123</v>
      </c>
      <c r="C12" s="17" t="s">
        <v>52</v>
      </c>
      <c r="D12" s="17">
        <v>27</v>
      </c>
      <c r="E12" s="17"/>
      <c r="F12" s="12"/>
    </row>
    <row r="13" spans="1:7">
      <c r="A13" s="28">
        <v>7</v>
      </c>
      <c r="B13" s="18" t="s">
        <v>130</v>
      </c>
      <c r="C13" s="17" t="s">
        <v>46</v>
      </c>
      <c r="D13" s="17">
        <f>D16*0.78</f>
        <v>4.68</v>
      </c>
      <c r="E13" s="17"/>
      <c r="F13" s="12"/>
    </row>
    <row r="14" spans="1:7">
      <c r="A14" s="28">
        <v>8</v>
      </c>
      <c r="B14" s="18" t="s">
        <v>120</v>
      </c>
      <c r="C14" s="17" t="s">
        <v>119</v>
      </c>
      <c r="D14" s="17">
        <f>81*2+4*4</f>
        <v>178</v>
      </c>
      <c r="E14" s="17"/>
      <c r="F14" s="12"/>
    </row>
    <row r="15" spans="1:7">
      <c r="A15" s="28">
        <v>9</v>
      </c>
      <c r="B15" s="21" t="s">
        <v>121</v>
      </c>
      <c r="C15" s="17" t="s">
        <v>51</v>
      </c>
      <c r="D15" s="17">
        <v>262</v>
      </c>
      <c r="E15" s="17"/>
      <c r="F15" s="12"/>
    </row>
    <row r="16" spans="1:7" ht="30">
      <c r="A16" s="28">
        <v>10</v>
      </c>
      <c r="B16" s="18" t="s">
        <v>122</v>
      </c>
      <c r="C16" s="17" t="s">
        <v>115</v>
      </c>
      <c r="D16" s="17">
        <v>6</v>
      </c>
      <c r="E16" s="17"/>
      <c r="F16" s="12"/>
    </row>
    <row r="17" spans="1:6">
      <c r="A17" s="28">
        <v>11</v>
      </c>
      <c r="B17" s="18" t="s">
        <v>124</v>
      </c>
      <c r="C17" s="17" t="s">
        <v>118</v>
      </c>
      <c r="D17" s="17">
        <f>D11+(D9*2.5)</f>
        <v>1.651</v>
      </c>
      <c r="E17" s="17"/>
      <c r="F17" s="12"/>
    </row>
    <row r="18" spans="1:6">
      <c r="A18" s="28">
        <v>12</v>
      </c>
      <c r="B18" s="21" t="s">
        <v>125</v>
      </c>
      <c r="C18" s="17" t="s">
        <v>118</v>
      </c>
      <c r="D18" s="17">
        <f>D17</f>
        <v>1.651</v>
      </c>
      <c r="E18" s="17"/>
      <c r="F18" s="12"/>
    </row>
    <row r="19" spans="1:6">
      <c r="A19" s="28">
        <v>13</v>
      </c>
      <c r="B19" s="18" t="s">
        <v>127</v>
      </c>
      <c r="C19" s="17" t="s">
        <v>128</v>
      </c>
      <c r="D19" s="17">
        <v>50</v>
      </c>
      <c r="E19" s="17"/>
      <c r="F19" s="12"/>
    </row>
    <row r="20" spans="1:6">
      <c r="A20" s="28">
        <v>14</v>
      </c>
      <c r="B20" s="18" t="s">
        <v>386</v>
      </c>
      <c r="C20" s="28" t="s">
        <v>118</v>
      </c>
      <c r="D20" s="28">
        <f>D11</f>
        <v>0.45100000000000001</v>
      </c>
      <c r="E20" s="28"/>
      <c r="F20" s="12"/>
    </row>
    <row r="21" spans="1:6">
      <c r="A21" s="28">
        <v>15</v>
      </c>
      <c r="B21" s="18" t="s">
        <v>150</v>
      </c>
      <c r="C21" s="6" t="s">
        <v>51</v>
      </c>
      <c r="D21" s="17">
        <v>2</v>
      </c>
      <c r="E21" s="17"/>
      <c r="F21" s="12"/>
    </row>
    <row r="22" spans="1:6">
      <c r="A22" s="28">
        <v>16</v>
      </c>
      <c r="B22" s="18" t="s">
        <v>129</v>
      </c>
      <c r="C22" s="17" t="s">
        <v>115</v>
      </c>
      <c r="D22" s="17">
        <f>D16</f>
        <v>6</v>
      </c>
      <c r="E22" s="17"/>
      <c r="F22" s="12"/>
    </row>
    <row r="23" spans="1:6">
      <c r="A23" s="17"/>
      <c r="B23" s="4" t="s">
        <v>18</v>
      </c>
      <c r="C23" s="17"/>
      <c r="D23" s="17"/>
      <c r="E23" s="17"/>
      <c r="F23" s="16">
        <f>SUM(F7:F22)</f>
        <v>0</v>
      </c>
    </row>
  </sheetData>
  <mergeCells count="4">
    <mergeCell ref="A1:F2"/>
    <mergeCell ref="A3:F3"/>
    <mergeCell ref="A4:F4"/>
    <mergeCell ref="A5:F5"/>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C4" workbookViewId="0">
      <selection activeCell="H26" sqref="H26"/>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297</v>
      </c>
      <c r="B3" s="64"/>
      <c r="C3" s="64"/>
      <c r="D3" s="64"/>
      <c r="E3" s="64"/>
      <c r="F3" s="64"/>
    </row>
    <row r="4" spans="1:6">
      <c r="A4" s="63" t="s">
        <v>60</v>
      </c>
      <c r="B4" s="64"/>
      <c r="C4" s="64"/>
      <c r="D4" s="64"/>
      <c r="E4" s="64"/>
      <c r="F4" s="64"/>
    </row>
    <row r="5" spans="1:6">
      <c r="A5" s="65" t="s">
        <v>300</v>
      </c>
      <c r="B5" s="66"/>
      <c r="C5" s="66"/>
      <c r="D5" s="66"/>
      <c r="E5" s="66"/>
      <c r="F5" s="66"/>
    </row>
    <row r="6" spans="1:6">
      <c r="A6" s="13" t="s">
        <v>1</v>
      </c>
      <c r="B6" s="14" t="s">
        <v>37</v>
      </c>
      <c r="C6" s="14" t="s">
        <v>38</v>
      </c>
      <c r="D6" s="15" t="s">
        <v>39</v>
      </c>
      <c r="E6" s="14" t="s">
        <v>40</v>
      </c>
      <c r="F6" s="14" t="s">
        <v>41</v>
      </c>
    </row>
    <row r="7" spans="1:6">
      <c r="A7" s="17">
        <v>1</v>
      </c>
      <c r="B7" s="18" t="s">
        <v>112</v>
      </c>
      <c r="C7" s="19" t="s">
        <v>47</v>
      </c>
      <c r="D7" s="17">
        <v>1</v>
      </c>
      <c r="E7" s="17"/>
      <c r="F7" s="12"/>
    </row>
    <row r="8" spans="1:6">
      <c r="A8" s="17">
        <v>2</v>
      </c>
      <c r="B8" s="18" t="s">
        <v>113</v>
      </c>
      <c r="C8" s="17" t="s">
        <v>47</v>
      </c>
      <c r="D8" s="17">
        <v>0</v>
      </c>
      <c r="E8" s="17"/>
      <c r="F8" s="12"/>
    </row>
    <row r="9" spans="1:6">
      <c r="A9" s="28">
        <v>3</v>
      </c>
      <c r="B9" s="18" t="s">
        <v>114</v>
      </c>
      <c r="C9" s="17" t="s">
        <v>47</v>
      </c>
      <c r="D9" s="17">
        <v>0.48</v>
      </c>
      <c r="E9" s="17"/>
      <c r="F9" s="12"/>
    </row>
    <row r="10" spans="1:6">
      <c r="A10" s="28">
        <v>4</v>
      </c>
      <c r="B10" s="21" t="s">
        <v>116</v>
      </c>
      <c r="C10" s="17" t="s">
        <v>115</v>
      </c>
      <c r="D10" s="17">
        <f>8.76*2</f>
        <v>17.52</v>
      </c>
      <c r="E10" s="17"/>
      <c r="F10" s="12"/>
    </row>
    <row r="11" spans="1:6">
      <c r="A11" s="28">
        <v>5</v>
      </c>
      <c r="B11" s="18" t="s">
        <v>117</v>
      </c>
      <c r="C11" s="17" t="s">
        <v>118</v>
      </c>
      <c r="D11" s="17">
        <v>0.56699999999999995</v>
      </c>
      <c r="E11" s="17"/>
      <c r="F11" s="12"/>
    </row>
    <row r="12" spans="1:6">
      <c r="A12" s="28">
        <v>6</v>
      </c>
      <c r="B12" s="18" t="s">
        <v>123</v>
      </c>
      <c r="C12" s="17" t="s">
        <v>52</v>
      </c>
      <c r="D12" s="17">
        <v>35.4</v>
      </c>
      <c r="E12" s="17"/>
      <c r="F12" s="12"/>
    </row>
    <row r="13" spans="1:6">
      <c r="A13" s="28">
        <v>7</v>
      </c>
      <c r="B13" s="18" t="s">
        <v>130</v>
      </c>
      <c r="C13" s="17" t="s">
        <v>46</v>
      </c>
      <c r="D13" s="17">
        <f>D16*0.78</f>
        <v>6.24</v>
      </c>
      <c r="E13" s="17"/>
      <c r="F13" s="12"/>
    </row>
    <row r="14" spans="1:6">
      <c r="A14" s="28">
        <v>8</v>
      </c>
      <c r="B14" s="18" t="s">
        <v>120</v>
      </c>
      <c r="C14" s="17" t="s">
        <v>119</v>
      </c>
      <c r="D14" s="17">
        <f>101*2+4*4</f>
        <v>218</v>
      </c>
      <c r="E14" s="17"/>
      <c r="F14" s="12"/>
    </row>
    <row r="15" spans="1:6">
      <c r="A15" s="28">
        <v>9</v>
      </c>
      <c r="B15" s="21" t="s">
        <v>121</v>
      </c>
      <c r="C15" s="17" t="s">
        <v>51</v>
      </c>
      <c r="D15" s="17">
        <v>334</v>
      </c>
      <c r="E15" s="17"/>
      <c r="F15" s="12"/>
    </row>
    <row r="16" spans="1:6" ht="30">
      <c r="A16" s="28">
        <v>10</v>
      </c>
      <c r="B16" s="18" t="s">
        <v>122</v>
      </c>
      <c r="C16" s="17" t="s">
        <v>115</v>
      </c>
      <c r="D16" s="17">
        <v>8</v>
      </c>
      <c r="E16" s="17"/>
      <c r="F16" s="12"/>
    </row>
    <row r="17" spans="1:6">
      <c r="A17" s="28">
        <v>11</v>
      </c>
      <c r="B17" s="18" t="s">
        <v>124</v>
      </c>
      <c r="C17" s="17" t="s">
        <v>118</v>
      </c>
      <c r="D17" s="17">
        <f>D11+(D9*2.5)</f>
        <v>1.7669999999999999</v>
      </c>
      <c r="E17" s="17"/>
      <c r="F17" s="12"/>
    </row>
    <row r="18" spans="1:6">
      <c r="A18" s="28">
        <v>12</v>
      </c>
      <c r="B18" s="21" t="s">
        <v>125</v>
      </c>
      <c r="C18" s="17" t="s">
        <v>118</v>
      </c>
      <c r="D18" s="17">
        <f>D17</f>
        <v>1.7669999999999999</v>
      </c>
      <c r="E18" s="17"/>
      <c r="F18" s="12"/>
    </row>
    <row r="19" spans="1:6">
      <c r="A19" s="28">
        <v>13</v>
      </c>
      <c r="B19" s="18" t="s">
        <v>127</v>
      </c>
      <c r="C19" s="17" t="s">
        <v>128</v>
      </c>
      <c r="D19" s="17">
        <v>50</v>
      </c>
      <c r="E19" s="17"/>
      <c r="F19" s="12"/>
    </row>
    <row r="20" spans="1:6">
      <c r="A20" s="28">
        <v>14</v>
      </c>
      <c r="B20" s="18" t="s">
        <v>386</v>
      </c>
      <c r="C20" s="28" t="s">
        <v>118</v>
      </c>
      <c r="D20" s="28">
        <f>D11</f>
        <v>0.56699999999999995</v>
      </c>
      <c r="E20" s="28"/>
      <c r="F20" s="12"/>
    </row>
    <row r="21" spans="1:6">
      <c r="A21" s="28">
        <v>15</v>
      </c>
      <c r="B21" s="18" t="s">
        <v>150</v>
      </c>
      <c r="C21" s="6" t="s">
        <v>51</v>
      </c>
      <c r="D21" s="17">
        <v>2</v>
      </c>
      <c r="E21" s="17"/>
      <c r="F21" s="12"/>
    </row>
    <row r="22" spans="1:6">
      <c r="A22" s="28">
        <v>16</v>
      </c>
      <c r="B22" s="18" t="s">
        <v>129</v>
      </c>
      <c r="C22" s="17" t="s">
        <v>115</v>
      </c>
      <c r="D22" s="17">
        <f>D16</f>
        <v>8</v>
      </c>
      <c r="E22" s="17"/>
      <c r="F22" s="12"/>
    </row>
    <row r="23" spans="1:6">
      <c r="A23" s="17"/>
      <c r="B23" s="4" t="s">
        <v>18</v>
      </c>
      <c r="C23" s="17"/>
      <c r="D23" s="17"/>
      <c r="E23" s="17"/>
      <c r="F23" s="16">
        <f>SUM(F7:F22)</f>
        <v>0</v>
      </c>
    </row>
  </sheetData>
  <mergeCells count="4">
    <mergeCell ref="A5:F5"/>
    <mergeCell ref="A1:F2"/>
    <mergeCell ref="A3:F3"/>
    <mergeCell ref="A4:F4"/>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zoomScale="85" zoomScaleNormal="85" workbookViewId="0">
      <selection activeCell="H26" sqref="H26"/>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298</v>
      </c>
      <c r="B3" s="64"/>
      <c r="C3" s="64"/>
      <c r="D3" s="64"/>
      <c r="E3" s="64"/>
      <c r="F3" s="64"/>
    </row>
    <row r="4" spans="1:6">
      <c r="A4" s="63" t="s">
        <v>60</v>
      </c>
      <c r="B4" s="64"/>
      <c r="C4" s="64"/>
      <c r="D4" s="64"/>
      <c r="E4" s="64"/>
      <c r="F4" s="64"/>
    </row>
    <row r="5" spans="1:6">
      <c r="A5" s="65" t="s">
        <v>299</v>
      </c>
      <c r="B5" s="66"/>
      <c r="C5" s="66"/>
      <c r="D5" s="66"/>
      <c r="E5" s="66"/>
      <c r="F5" s="66"/>
    </row>
    <row r="6" spans="1:6">
      <c r="A6" s="13" t="s">
        <v>1</v>
      </c>
      <c r="B6" s="14" t="s">
        <v>37</v>
      </c>
      <c r="C6" s="14" t="s">
        <v>38</v>
      </c>
      <c r="D6" s="15" t="s">
        <v>39</v>
      </c>
      <c r="E6" s="14" t="s">
        <v>40</v>
      </c>
      <c r="F6" s="14" t="s">
        <v>41</v>
      </c>
    </row>
    <row r="7" spans="1:6">
      <c r="A7" s="17">
        <v>1</v>
      </c>
      <c r="B7" s="18" t="s">
        <v>112</v>
      </c>
      <c r="C7" s="19" t="s">
        <v>47</v>
      </c>
      <c r="D7" s="17">
        <f>D8*0.5*1*1</f>
        <v>4</v>
      </c>
      <c r="E7" s="17"/>
      <c r="F7" s="12"/>
    </row>
    <row r="8" spans="1:6">
      <c r="A8" s="17">
        <v>2</v>
      </c>
      <c r="B8" s="18" t="s">
        <v>113</v>
      </c>
      <c r="C8" s="17" t="s">
        <v>47</v>
      </c>
      <c r="D8" s="17">
        <v>8</v>
      </c>
      <c r="E8" s="17"/>
      <c r="F8" s="12"/>
    </row>
    <row r="9" spans="1:6">
      <c r="A9" s="28">
        <v>3</v>
      </c>
      <c r="B9" s="18" t="s">
        <v>114</v>
      </c>
      <c r="C9" s="17" t="s">
        <v>47</v>
      </c>
      <c r="D9" s="17">
        <v>0.48</v>
      </c>
      <c r="E9" s="17"/>
      <c r="F9" s="12"/>
    </row>
    <row r="10" spans="1:6">
      <c r="A10" s="28">
        <v>4</v>
      </c>
      <c r="B10" s="21" t="s">
        <v>116</v>
      </c>
      <c r="C10" s="17" t="s">
        <v>115</v>
      </c>
      <c r="D10" s="17">
        <f>8.76*2</f>
        <v>17.52</v>
      </c>
      <c r="E10" s="17"/>
      <c r="F10" s="12"/>
    </row>
    <row r="11" spans="1:6">
      <c r="A11" s="28">
        <v>5</v>
      </c>
      <c r="B11" s="18" t="s">
        <v>117</v>
      </c>
      <c r="C11" s="17" t="s">
        <v>118</v>
      </c>
      <c r="D11" s="17">
        <v>0.82499999999999996</v>
      </c>
      <c r="E11" s="17"/>
      <c r="F11" s="12"/>
    </row>
    <row r="12" spans="1:6">
      <c r="A12" s="28">
        <v>6</v>
      </c>
      <c r="B12" s="18" t="s">
        <v>123</v>
      </c>
      <c r="C12" s="17" t="s">
        <v>52</v>
      </c>
      <c r="D12" s="17">
        <v>52.2</v>
      </c>
      <c r="E12" s="17"/>
      <c r="F12" s="12"/>
    </row>
    <row r="13" spans="1:6">
      <c r="A13" s="28">
        <v>7</v>
      </c>
      <c r="B13" s="18" t="s">
        <v>130</v>
      </c>
      <c r="C13" s="17" t="s">
        <v>46</v>
      </c>
      <c r="D13" s="17">
        <f>D16*0.78</f>
        <v>9.36</v>
      </c>
      <c r="E13" s="17"/>
      <c r="F13" s="12"/>
    </row>
    <row r="14" spans="1:6">
      <c r="A14" s="28">
        <v>8</v>
      </c>
      <c r="B14" s="18" t="s">
        <v>120</v>
      </c>
      <c r="C14" s="17" t="s">
        <v>119</v>
      </c>
      <c r="D14" s="17">
        <f>149*2+4*4</f>
        <v>314</v>
      </c>
      <c r="E14" s="17"/>
      <c r="F14" s="12"/>
    </row>
    <row r="15" spans="1:6">
      <c r="A15" s="28">
        <v>9</v>
      </c>
      <c r="B15" s="21" t="s">
        <v>121</v>
      </c>
      <c r="C15" s="17" t="s">
        <v>51</v>
      </c>
      <c r="D15" s="17">
        <v>494</v>
      </c>
      <c r="E15" s="17"/>
      <c r="F15" s="12"/>
    </row>
    <row r="16" spans="1:6" ht="30">
      <c r="A16" s="28">
        <v>10</v>
      </c>
      <c r="B16" s="18" t="s">
        <v>122</v>
      </c>
      <c r="C16" s="17" t="s">
        <v>115</v>
      </c>
      <c r="D16" s="17">
        <v>12</v>
      </c>
      <c r="E16" s="17"/>
      <c r="F16" s="12"/>
    </row>
    <row r="17" spans="1:6">
      <c r="A17" s="28">
        <v>11</v>
      </c>
      <c r="B17" s="18" t="s">
        <v>124</v>
      </c>
      <c r="C17" s="17" t="s">
        <v>118</v>
      </c>
      <c r="D17" s="17">
        <f>D11+(D9*2.5)</f>
        <v>2.0249999999999999</v>
      </c>
      <c r="E17" s="17"/>
      <c r="F17" s="12"/>
    </row>
    <row r="18" spans="1:6">
      <c r="A18" s="28">
        <v>12</v>
      </c>
      <c r="B18" s="21" t="s">
        <v>125</v>
      </c>
      <c r="C18" s="17" t="s">
        <v>118</v>
      </c>
      <c r="D18" s="17">
        <f>D17</f>
        <v>2.0249999999999999</v>
      </c>
      <c r="E18" s="17"/>
      <c r="F18" s="12"/>
    </row>
    <row r="19" spans="1:6">
      <c r="A19" s="28">
        <v>13</v>
      </c>
      <c r="B19" s="18" t="s">
        <v>127</v>
      </c>
      <c r="C19" s="17" t="s">
        <v>128</v>
      </c>
      <c r="D19" s="17">
        <v>50</v>
      </c>
      <c r="E19" s="17"/>
      <c r="F19" s="12"/>
    </row>
    <row r="20" spans="1:6">
      <c r="A20" s="28">
        <v>14</v>
      </c>
      <c r="B20" s="18" t="s">
        <v>386</v>
      </c>
      <c r="C20" s="28" t="s">
        <v>118</v>
      </c>
      <c r="D20" s="28">
        <f>D11</f>
        <v>0.82499999999999996</v>
      </c>
      <c r="E20" s="28"/>
      <c r="F20" s="12"/>
    </row>
    <row r="21" spans="1:6">
      <c r="A21" s="28">
        <v>15</v>
      </c>
      <c r="B21" s="18" t="s">
        <v>150</v>
      </c>
      <c r="C21" s="6" t="s">
        <v>51</v>
      </c>
      <c r="D21" s="17">
        <v>2</v>
      </c>
      <c r="E21" s="17"/>
      <c r="F21" s="12"/>
    </row>
    <row r="22" spans="1:6">
      <c r="A22" s="28">
        <v>16</v>
      </c>
      <c r="B22" s="18" t="s">
        <v>129</v>
      </c>
      <c r="C22" s="17" t="s">
        <v>115</v>
      </c>
      <c r="D22" s="17">
        <f>D16</f>
        <v>12</v>
      </c>
      <c r="E22" s="17"/>
      <c r="F22" s="12"/>
    </row>
    <row r="23" spans="1:6">
      <c r="A23" s="17"/>
      <c r="B23" s="4" t="s">
        <v>18</v>
      </c>
      <c r="C23" s="17"/>
      <c r="D23" s="17"/>
      <c r="E23" s="17"/>
      <c r="F23" s="16">
        <f>SUM(F7:F22)</f>
        <v>0</v>
      </c>
    </row>
  </sheetData>
  <mergeCells count="4">
    <mergeCell ref="A5:F5"/>
    <mergeCell ref="A1:F2"/>
    <mergeCell ref="A3:F3"/>
    <mergeCell ref="A4:F4"/>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C5" workbookViewId="0">
      <selection activeCell="H26" sqref="H26"/>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301</v>
      </c>
      <c r="B3" s="64"/>
      <c r="C3" s="64"/>
      <c r="D3" s="64"/>
      <c r="E3" s="64"/>
      <c r="F3" s="64"/>
    </row>
    <row r="4" spans="1:6">
      <c r="A4" s="63" t="s">
        <v>60</v>
      </c>
      <c r="B4" s="64"/>
      <c r="C4" s="64"/>
      <c r="D4" s="64"/>
      <c r="E4" s="64"/>
      <c r="F4" s="64"/>
    </row>
    <row r="5" spans="1:6">
      <c r="A5" s="65" t="s">
        <v>302</v>
      </c>
      <c r="B5" s="66"/>
      <c r="C5" s="66"/>
      <c r="D5" s="66"/>
      <c r="E5" s="66"/>
      <c r="F5" s="66"/>
    </row>
    <row r="6" spans="1:6">
      <c r="A6" s="13" t="s">
        <v>1</v>
      </c>
      <c r="B6" s="14" t="s">
        <v>37</v>
      </c>
      <c r="C6" s="14" t="s">
        <v>38</v>
      </c>
      <c r="D6" s="15" t="s">
        <v>39</v>
      </c>
      <c r="E6" s="14" t="s">
        <v>40</v>
      </c>
      <c r="F6" s="14" t="s">
        <v>41</v>
      </c>
    </row>
    <row r="7" spans="1:6">
      <c r="A7" s="17">
        <v>1</v>
      </c>
      <c r="B7" s="18" t="s">
        <v>112</v>
      </c>
      <c r="C7" s="19" t="s">
        <v>47</v>
      </c>
      <c r="D7" s="17">
        <f>D8*0.5*1*1</f>
        <v>2</v>
      </c>
      <c r="E7" s="17"/>
      <c r="F7" s="12"/>
    </row>
    <row r="8" spans="1:6">
      <c r="A8" s="17">
        <v>2</v>
      </c>
      <c r="B8" s="18" t="s">
        <v>113</v>
      </c>
      <c r="C8" s="17" t="s">
        <v>47</v>
      </c>
      <c r="D8" s="17">
        <v>4</v>
      </c>
      <c r="E8" s="17"/>
      <c r="F8" s="12"/>
    </row>
    <row r="9" spans="1:6">
      <c r="A9" s="28">
        <v>3</v>
      </c>
      <c r="B9" s="18" t="s">
        <v>114</v>
      </c>
      <c r="C9" s="17" t="s">
        <v>47</v>
      </c>
      <c r="D9" s="17">
        <v>0.48</v>
      </c>
      <c r="E9" s="17"/>
      <c r="F9" s="12"/>
    </row>
    <row r="10" spans="1:6">
      <c r="A10" s="28">
        <v>4</v>
      </c>
      <c r="B10" s="21" t="s">
        <v>116</v>
      </c>
      <c r="C10" s="17" t="s">
        <v>115</v>
      </c>
      <c r="D10" s="17">
        <f>8.76*2</f>
        <v>17.52</v>
      </c>
      <c r="E10" s="17"/>
      <c r="F10" s="12"/>
    </row>
    <row r="11" spans="1:6">
      <c r="A11" s="28">
        <v>5</v>
      </c>
      <c r="B11" s="18" t="s">
        <v>117</v>
      </c>
      <c r="C11" s="17" t="s">
        <v>118</v>
      </c>
      <c r="D11" s="17">
        <v>0.56699999999999995</v>
      </c>
      <c r="E11" s="17"/>
      <c r="F11" s="12"/>
    </row>
    <row r="12" spans="1:6">
      <c r="A12" s="28">
        <v>6</v>
      </c>
      <c r="B12" s="18" t="s">
        <v>123</v>
      </c>
      <c r="C12" s="17" t="s">
        <v>52</v>
      </c>
      <c r="D12" s="17">
        <v>35.4</v>
      </c>
      <c r="E12" s="17"/>
      <c r="F12" s="12"/>
    </row>
    <row r="13" spans="1:6">
      <c r="A13" s="28">
        <v>7</v>
      </c>
      <c r="B13" s="18" t="s">
        <v>130</v>
      </c>
      <c r="C13" s="17" t="s">
        <v>46</v>
      </c>
      <c r="D13" s="17">
        <f>D16*0.78</f>
        <v>6.24</v>
      </c>
      <c r="E13" s="17"/>
      <c r="F13" s="12"/>
    </row>
    <row r="14" spans="1:6">
      <c r="A14" s="28">
        <v>8</v>
      </c>
      <c r="B14" s="18" t="s">
        <v>120</v>
      </c>
      <c r="C14" s="17" t="s">
        <v>119</v>
      </c>
      <c r="D14" s="17">
        <f>101*2+4*4</f>
        <v>218</v>
      </c>
      <c r="E14" s="17"/>
      <c r="F14" s="12"/>
    </row>
    <row r="15" spans="1:6">
      <c r="A15" s="28">
        <v>9</v>
      </c>
      <c r="B15" s="21" t="s">
        <v>121</v>
      </c>
      <c r="C15" s="17" t="s">
        <v>51</v>
      </c>
      <c r="D15" s="17">
        <v>334</v>
      </c>
      <c r="E15" s="17"/>
      <c r="F15" s="12"/>
    </row>
    <row r="16" spans="1:6" ht="30">
      <c r="A16" s="28">
        <v>10</v>
      </c>
      <c r="B16" s="18" t="s">
        <v>122</v>
      </c>
      <c r="C16" s="17" t="s">
        <v>115</v>
      </c>
      <c r="D16" s="17">
        <v>8</v>
      </c>
      <c r="E16" s="17"/>
      <c r="F16" s="12"/>
    </row>
    <row r="17" spans="1:6">
      <c r="A17" s="28">
        <v>11</v>
      </c>
      <c r="B17" s="18" t="s">
        <v>124</v>
      </c>
      <c r="C17" s="17" t="s">
        <v>118</v>
      </c>
      <c r="D17" s="17">
        <f>D11+(D9*2.5)</f>
        <v>1.7669999999999999</v>
      </c>
      <c r="E17" s="17"/>
      <c r="F17" s="12"/>
    </row>
    <row r="18" spans="1:6">
      <c r="A18" s="28">
        <v>12</v>
      </c>
      <c r="B18" s="21" t="s">
        <v>125</v>
      </c>
      <c r="C18" s="17" t="s">
        <v>118</v>
      </c>
      <c r="D18" s="17">
        <f>D17</f>
        <v>1.7669999999999999</v>
      </c>
      <c r="E18" s="17"/>
      <c r="F18" s="12"/>
    </row>
    <row r="19" spans="1:6">
      <c r="A19" s="28">
        <v>13</v>
      </c>
      <c r="B19" s="18" t="s">
        <v>127</v>
      </c>
      <c r="C19" s="17" t="s">
        <v>128</v>
      </c>
      <c r="D19" s="17">
        <v>50</v>
      </c>
      <c r="E19" s="17"/>
      <c r="F19" s="12"/>
    </row>
    <row r="20" spans="1:6">
      <c r="A20" s="28">
        <v>14</v>
      </c>
      <c r="B20" s="18" t="s">
        <v>386</v>
      </c>
      <c r="C20" s="28" t="s">
        <v>118</v>
      </c>
      <c r="D20" s="28">
        <f>D11</f>
        <v>0.56699999999999995</v>
      </c>
      <c r="E20" s="28"/>
      <c r="F20" s="12"/>
    </row>
    <row r="21" spans="1:6">
      <c r="A21" s="28">
        <v>15</v>
      </c>
      <c r="B21" s="18" t="s">
        <v>150</v>
      </c>
      <c r="C21" s="6" t="s">
        <v>51</v>
      </c>
      <c r="D21" s="17">
        <v>2</v>
      </c>
      <c r="E21" s="17"/>
      <c r="F21" s="12"/>
    </row>
    <row r="22" spans="1:6">
      <c r="A22" s="28">
        <v>16</v>
      </c>
      <c r="B22" s="18" t="s">
        <v>129</v>
      </c>
      <c r="C22" s="17" t="s">
        <v>115</v>
      </c>
      <c r="D22" s="17">
        <f>D16</f>
        <v>8</v>
      </c>
      <c r="E22" s="17"/>
      <c r="F22" s="12"/>
    </row>
    <row r="23" spans="1:6">
      <c r="A23" s="17"/>
      <c r="B23" s="4" t="s">
        <v>18</v>
      </c>
      <c r="C23" s="17"/>
      <c r="D23" s="17"/>
      <c r="E23" s="17"/>
      <c r="F23" s="16">
        <f>SUM(F7:F22)</f>
        <v>0</v>
      </c>
    </row>
  </sheetData>
  <mergeCells count="4">
    <mergeCell ref="A1:F2"/>
    <mergeCell ref="A3:F3"/>
    <mergeCell ref="A4:F4"/>
    <mergeCell ref="A5:F5"/>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C6" workbookViewId="0">
      <selection activeCell="H26" sqref="H26"/>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303</v>
      </c>
      <c r="B3" s="64"/>
      <c r="C3" s="64"/>
      <c r="D3" s="64"/>
      <c r="E3" s="64"/>
      <c r="F3" s="64"/>
    </row>
    <row r="4" spans="1:6">
      <c r="A4" s="63" t="s">
        <v>60</v>
      </c>
      <c r="B4" s="64"/>
      <c r="C4" s="64"/>
      <c r="D4" s="64"/>
      <c r="E4" s="64"/>
      <c r="F4" s="64"/>
    </row>
    <row r="5" spans="1:6">
      <c r="A5" s="65" t="s">
        <v>304</v>
      </c>
      <c r="B5" s="66"/>
      <c r="C5" s="66"/>
      <c r="D5" s="66"/>
      <c r="E5" s="66"/>
      <c r="F5" s="66"/>
    </row>
    <row r="6" spans="1:6">
      <c r="A6" s="13" t="s">
        <v>1</v>
      </c>
      <c r="B6" s="14" t="s">
        <v>37</v>
      </c>
      <c r="C6" s="14" t="s">
        <v>38</v>
      </c>
      <c r="D6" s="15" t="s">
        <v>39</v>
      </c>
      <c r="E6" s="14" t="s">
        <v>40</v>
      </c>
      <c r="F6" s="14" t="s">
        <v>41</v>
      </c>
    </row>
    <row r="7" spans="1:6">
      <c r="A7" s="17">
        <v>1</v>
      </c>
      <c r="B7" s="18" t="s">
        <v>112</v>
      </c>
      <c r="C7" s="19" t="s">
        <v>47</v>
      </c>
      <c r="D7" s="17">
        <f>D8*0.5*1*1</f>
        <v>2</v>
      </c>
      <c r="E7" s="17"/>
      <c r="F7" s="12"/>
    </row>
    <row r="8" spans="1:6">
      <c r="A8" s="17">
        <v>2</v>
      </c>
      <c r="B8" s="18" t="s">
        <v>113</v>
      </c>
      <c r="C8" s="17" t="s">
        <v>47</v>
      </c>
      <c r="D8" s="17">
        <v>4</v>
      </c>
      <c r="E8" s="17"/>
      <c r="F8" s="12"/>
    </row>
    <row r="9" spans="1:6">
      <c r="A9" s="28">
        <v>3</v>
      </c>
      <c r="B9" s="18" t="s">
        <v>114</v>
      </c>
      <c r="C9" s="17" t="s">
        <v>47</v>
      </c>
      <c r="D9" s="17">
        <v>0.48</v>
      </c>
      <c r="E9" s="17"/>
      <c r="F9" s="12"/>
    </row>
    <row r="10" spans="1:6">
      <c r="A10" s="28">
        <v>4</v>
      </c>
      <c r="B10" s="21" t="s">
        <v>116</v>
      </c>
      <c r="C10" s="17" t="s">
        <v>115</v>
      </c>
      <c r="D10" s="17">
        <f>8.76*2</f>
        <v>17.52</v>
      </c>
      <c r="E10" s="17"/>
      <c r="F10" s="12"/>
    </row>
    <row r="11" spans="1:6">
      <c r="A11" s="28">
        <v>5</v>
      </c>
      <c r="B11" s="18" t="s">
        <v>117</v>
      </c>
      <c r="C11" s="17" t="s">
        <v>118</v>
      </c>
      <c r="D11" s="17">
        <v>0.56699999999999995</v>
      </c>
      <c r="E11" s="17"/>
      <c r="F11" s="12"/>
    </row>
    <row r="12" spans="1:6">
      <c r="A12" s="28">
        <v>6</v>
      </c>
      <c r="B12" s="18" t="s">
        <v>123</v>
      </c>
      <c r="C12" s="17" t="s">
        <v>52</v>
      </c>
      <c r="D12" s="17">
        <v>35.4</v>
      </c>
      <c r="E12" s="17"/>
      <c r="F12" s="12"/>
    </row>
    <row r="13" spans="1:6">
      <c r="A13" s="28">
        <v>7</v>
      </c>
      <c r="B13" s="18" t="s">
        <v>130</v>
      </c>
      <c r="C13" s="17" t="s">
        <v>46</v>
      </c>
      <c r="D13" s="17">
        <f>D16*0.78</f>
        <v>6.24</v>
      </c>
      <c r="E13" s="17"/>
      <c r="F13" s="12"/>
    </row>
    <row r="14" spans="1:6">
      <c r="A14" s="28">
        <v>8</v>
      </c>
      <c r="B14" s="18" t="s">
        <v>120</v>
      </c>
      <c r="C14" s="17" t="s">
        <v>119</v>
      </c>
      <c r="D14" s="17">
        <f>101*2+4*4</f>
        <v>218</v>
      </c>
      <c r="E14" s="17"/>
      <c r="F14" s="12"/>
    </row>
    <row r="15" spans="1:6">
      <c r="A15" s="28">
        <v>9</v>
      </c>
      <c r="B15" s="21" t="s">
        <v>121</v>
      </c>
      <c r="C15" s="17" t="s">
        <v>51</v>
      </c>
      <c r="D15" s="17">
        <v>334</v>
      </c>
      <c r="E15" s="17"/>
      <c r="F15" s="12"/>
    </row>
    <row r="16" spans="1:6" ht="30">
      <c r="A16" s="28">
        <v>10</v>
      </c>
      <c r="B16" s="18" t="s">
        <v>122</v>
      </c>
      <c r="C16" s="17" t="s">
        <v>115</v>
      </c>
      <c r="D16" s="17">
        <v>8</v>
      </c>
      <c r="E16" s="17"/>
      <c r="F16" s="12"/>
    </row>
    <row r="17" spans="1:6">
      <c r="A17" s="28">
        <v>11</v>
      </c>
      <c r="B17" s="18" t="s">
        <v>124</v>
      </c>
      <c r="C17" s="17" t="s">
        <v>118</v>
      </c>
      <c r="D17" s="17">
        <f>D11+(D9*2.5)</f>
        <v>1.7669999999999999</v>
      </c>
      <c r="E17" s="17"/>
      <c r="F17" s="12"/>
    </row>
    <row r="18" spans="1:6">
      <c r="A18" s="28">
        <v>12</v>
      </c>
      <c r="B18" s="21" t="s">
        <v>125</v>
      </c>
      <c r="C18" s="17" t="s">
        <v>118</v>
      </c>
      <c r="D18" s="17">
        <f>D17</f>
        <v>1.7669999999999999</v>
      </c>
      <c r="E18" s="17"/>
      <c r="F18" s="12"/>
    </row>
    <row r="19" spans="1:6">
      <c r="A19" s="28">
        <v>13</v>
      </c>
      <c r="B19" s="18" t="s">
        <v>127</v>
      </c>
      <c r="C19" s="17" t="s">
        <v>128</v>
      </c>
      <c r="D19" s="17">
        <v>50</v>
      </c>
      <c r="E19" s="17"/>
      <c r="F19" s="12"/>
    </row>
    <row r="20" spans="1:6">
      <c r="A20" s="28">
        <v>14</v>
      </c>
      <c r="B20" s="18" t="s">
        <v>386</v>
      </c>
      <c r="C20" s="28" t="s">
        <v>118</v>
      </c>
      <c r="D20" s="28">
        <f>D11</f>
        <v>0.56699999999999995</v>
      </c>
      <c r="E20" s="28"/>
      <c r="F20" s="12"/>
    </row>
    <row r="21" spans="1:6">
      <c r="A21" s="28">
        <v>15</v>
      </c>
      <c r="B21" s="18" t="s">
        <v>150</v>
      </c>
      <c r="C21" s="6" t="s">
        <v>51</v>
      </c>
      <c r="D21" s="17">
        <v>2</v>
      </c>
      <c r="E21" s="17"/>
      <c r="F21" s="12"/>
    </row>
    <row r="22" spans="1:6">
      <c r="A22" s="28">
        <v>16</v>
      </c>
      <c r="B22" s="18" t="s">
        <v>129</v>
      </c>
      <c r="C22" s="17" t="s">
        <v>115</v>
      </c>
      <c r="D22" s="17">
        <f>D16</f>
        <v>8</v>
      </c>
      <c r="E22" s="17"/>
      <c r="F22" s="12"/>
    </row>
    <row r="23" spans="1:6">
      <c r="A23" s="17"/>
      <c r="B23" s="4" t="s">
        <v>18</v>
      </c>
      <c r="C23" s="17"/>
      <c r="D23" s="17"/>
      <c r="E23" s="17"/>
      <c r="F23" s="16">
        <f>SUM(F7:F22)</f>
        <v>0</v>
      </c>
    </row>
  </sheetData>
  <mergeCells count="4">
    <mergeCell ref="A1:F2"/>
    <mergeCell ref="A3:F3"/>
    <mergeCell ref="A4:F4"/>
    <mergeCell ref="A5:F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11"/>
  <sheetViews>
    <sheetView topLeftCell="B1" workbookViewId="0">
      <selection activeCell="E18" sqref="E18"/>
    </sheetView>
  </sheetViews>
  <sheetFormatPr defaultColWidth="9.140625" defaultRowHeight="15"/>
  <cols>
    <col min="1" max="1" width="10.140625" style="6" customWidth="1"/>
    <col min="2" max="2" width="81.7109375" style="6" bestFit="1" customWidth="1"/>
    <col min="3" max="3" width="21.5703125" style="6" bestFit="1" customWidth="1"/>
    <col min="4" max="4" width="21" style="6" customWidth="1"/>
    <col min="5" max="5" width="18.5703125" style="6" customWidth="1"/>
    <col min="6" max="6" width="14" style="6" customWidth="1"/>
    <col min="7" max="16384" width="9.140625" style="6"/>
  </cols>
  <sheetData>
    <row r="1" spans="1:6" ht="15" customHeight="1">
      <c r="A1" s="61" t="s">
        <v>49</v>
      </c>
      <c r="B1" s="62"/>
      <c r="C1" s="62"/>
      <c r="D1" s="62"/>
      <c r="E1" s="62"/>
      <c r="F1" s="62"/>
    </row>
    <row r="2" spans="1:6">
      <c r="A2" s="61"/>
      <c r="B2" s="62"/>
      <c r="C2" s="62"/>
      <c r="D2" s="62"/>
      <c r="E2" s="62"/>
      <c r="F2" s="62"/>
    </row>
    <row r="3" spans="1:6">
      <c r="A3" s="63" t="s">
        <v>42</v>
      </c>
      <c r="B3" s="64"/>
      <c r="C3" s="64"/>
      <c r="D3" s="64"/>
      <c r="E3" s="64"/>
      <c r="F3" s="64"/>
    </row>
    <row r="4" spans="1:6">
      <c r="A4" s="63" t="s">
        <v>48</v>
      </c>
      <c r="B4" s="64"/>
      <c r="C4" s="64"/>
      <c r="D4" s="64"/>
      <c r="E4" s="64"/>
      <c r="F4" s="64"/>
    </row>
    <row r="5" spans="1:6">
      <c r="A5" s="65" t="s">
        <v>43</v>
      </c>
      <c r="B5" s="66"/>
      <c r="C5" s="66"/>
      <c r="D5" s="66"/>
      <c r="E5" s="66"/>
      <c r="F5" s="66"/>
    </row>
    <row r="6" spans="1:6">
      <c r="A6" s="13" t="s">
        <v>1</v>
      </c>
      <c r="B6" s="14" t="s">
        <v>37</v>
      </c>
      <c r="C6" s="14" t="s">
        <v>38</v>
      </c>
      <c r="D6" s="15" t="s">
        <v>39</v>
      </c>
      <c r="E6" s="14" t="s">
        <v>40</v>
      </c>
      <c r="F6" s="14" t="s">
        <v>41</v>
      </c>
    </row>
    <row r="7" spans="1:6">
      <c r="A7" s="2">
        <v>1</v>
      </c>
      <c r="B7" s="9" t="s">
        <v>44</v>
      </c>
      <c r="C7" s="2" t="s">
        <v>45</v>
      </c>
      <c r="D7" s="2">
        <v>68.7</v>
      </c>
      <c r="E7" s="2"/>
      <c r="F7" s="12"/>
    </row>
    <row r="8" spans="1:6" ht="30">
      <c r="A8" s="2">
        <v>2</v>
      </c>
      <c r="B8" s="11" t="s">
        <v>93</v>
      </c>
      <c r="C8" s="2" t="s">
        <v>46</v>
      </c>
      <c r="D8" s="2">
        <f>54000*0.36</f>
        <v>19440</v>
      </c>
      <c r="E8" s="2"/>
      <c r="F8" s="12"/>
    </row>
    <row r="9" spans="1:6" ht="30">
      <c r="A9" s="2">
        <v>3</v>
      </c>
      <c r="B9" s="7" t="s">
        <v>94</v>
      </c>
      <c r="C9" s="2" t="s">
        <v>47</v>
      </c>
      <c r="D9" s="2">
        <f>54000*0.33*0.8</f>
        <v>14256</v>
      </c>
      <c r="E9" s="2"/>
      <c r="F9" s="12"/>
    </row>
    <row r="10" spans="1:6">
      <c r="A10" s="2">
        <v>4</v>
      </c>
      <c r="B10" s="2" t="s">
        <v>95</v>
      </c>
      <c r="C10" s="2" t="s">
        <v>46</v>
      </c>
      <c r="D10" s="2">
        <f>54000*0.8</f>
        <v>43200</v>
      </c>
      <c r="E10" s="2"/>
      <c r="F10" s="12"/>
    </row>
    <row r="11" spans="1:6">
      <c r="A11" s="2"/>
      <c r="B11" s="4" t="s">
        <v>18</v>
      </c>
      <c r="C11" s="2"/>
      <c r="D11" s="2"/>
      <c r="E11" s="2"/>
      <c r="F11" s="16">
        <f>SUM(F7:F10)</f>
        <v>0</v>
      </c>
    </row>
  </sheetData>
  <mergeCells count="4">
    <mergeCell ref="A1:F2"/>
    <mergeCell ref="A3:F3"/>
    <mergeCell ref="A4:F4"/>
    <mergeCell ref="A5:F5"/>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4" workbookViewId="0">
      <selection activeCell="H26" sqref="H26"/>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305</v>
      </c>
      <c r="B3" s="64"/>
      <c r="C3" s="64"/>
      <c r="D3" s="64"/>
      <c r="E3" s="64"/>
      <c r="F3" s="64"/>
    </row>
    <row r="4" spans="1:6">
      <c r="A4" s="63" t="s">
        <v>60</v>
      </c>
      <c r="B4" s="64"/>
      <c r="C4" s="64"/>
      <c r="D4" s="64"/>
      <c r="E4" s="64"/>
      <c r="F4" s="64"/>
    </row>
    <row r="5" spans="1:6">
      <c r="A5" s="65" t="s">
        <v>306</v>
      </c>
      <c r="B5" s="66"/>
      <c r="C5" s="66"/>
      <c r="D5" s="66"/>
      <c r="E5" s="66"/>
      <c r="F5" s="66"/>
    </row>
    <row r="6" spans="1:6">
      <c r="A6" s="13" t="s">
        <v>1</v>
      </c>
      <c r="B6" s="14" t="s">
        <v>37</v>
      </c>
      <c r="C6" s="14" t="s">
        <v>38</v>
      </c>
      <c r="D6" s="15" t="s">
        <v>39</v>
      </c>
      <c r="E6" s="14" t="s">
        <v>40</v>
      </c>
      <c r="F6" s="14" t="s">
        <v>41</v>
      </c>
    </row>
    <row r="7" spans="1:6">
      <c r="A7" s="17">
        <v>1</v>
      </c>
      <c r="B7" s="18" t="s">
        <v>112</v>
      </c>
      <c r="C7" s="19" t="s">
        <v>47</v>
      </c>
      <c r="D7" s="17">
        <f>D8*0.5*1*1</f>
        <v>4</v>
      </c>
      <c r="E7" s="17"/>
      <c r="F7" s="12"/>
    </row>
    <row r="8" spans="1:6">
      <c r="A8" s="17">
        <v>2</v>
      </c>
      <c r="B8" s="18" t="s">
        <v>113</v>
      </c>
      <c r="C8" s="17" t="s">
        <v>47</v>
      </c>
      <c r="D8" s="17">
        <v>8</v>
      </c>
      <c r="E8" s="17"/>
      <c r="F8" s="12"/>
    </row>
    <row r="9" spans="1:6">
      <c r="A9" s="28">
        <v>3</v>
      </c>
      <c r="B9" s="18" t="s">
        <v>114</v>
      </c>
      <c r="C9" s="17" t="s">
        <v>47</v>
      </c>
      <c r="D9" s="17">
        <v>0.48</v>
      </c>
      <c r="E9" s="17"/>
      <c r="F9" s="12"/>
    </row>
    <row r="10" spans="1:6">
      <c r="A10" s="28">
        <v>4</v>
      </c>
      <c r="B10" s="21" t="s">
        <v>116</v>
      </c>
      <c r="C10" s="17" t="s">
        <v>115</v>
      </c>
      <c r="D10" s="17">
        <f>8.76*2</f>
        <v>17.52</v>
      </c>
      <c r="E10" s="17"/>
      <c r="F10" s="12"/>
    </row>
    <row r="11" spans="1:6">
      <c r="A11" s="28">
        <v>5</v>
      </c>
      <c r="B11" s="18" t="s">
        <v>117</v>
      </c>
      <c r="C11" s="17" t="s">
        <v>118</v>
      </c>
      <c r="D11" s="17">
        <v>0.69599999999999995</v>
      </c>
      <c r="E11" s="17"/>
      <c r="F11" s="12"/>
    </row>
    <row r="12" spans="1:6">
      <c r="A12" s="28">
        <v>6</v>
      </c>
      <c r="B12" s="18" t="s">
        <v>123</v>
      </c>
      <c r="C12" s="17" t="s">
        <v>52</v>
      </c>
      <c r="D12" s="17">
        <v>44</v>
      </c>
      <c r="E12" s="17"/>
      <c r="F12" s="12"/>
    </row>
    <row r="13" spans="1:6">
      <c r="A13" s="28">
        <v>7</v>
      </c>
      <c r="B13" s="18" t="s">
        <v>130</v>
      </c>
      <c r="C13" s="17" t="s">
        <v>46</v>
      </c>
      <c r="D13" s="17">
        <f>D16*0.78</f>
        <v>7.8000000000000007</v>
      </c>
      <c r="E13" s="17"/>
      <c r="F13" s="12"/>
    </row>
    <row r="14" spans="1:6">
      <c r="A14" s="28">
        <v>8</v>
      </c>
      <c r="B14" s="18" t="s">
        <v>120</v>
      </c>
      <c r="C14" s="17" t="s">
        <v>119</v>
      </c>
      <c r="D14" s="17">
        <f>125*2+4*4</f>
        <v>266</v>
      </c>
      <c r="E14" s="17"/>
      <c r="F14" s="12"/>
    </row>
    <row r="15" spans="1:6">
      <c r="A15" s="28">
        <v>9</v>
      </c>
      <c r="B15" s="21" t="s">
        <v>121</v>
      </c>
      <c r="C15" s="17" t="s">
        <v>51</v>
      </c>
      <c r="D15" s="17">
        <v>414</v>
      </c>
      <c r="E15" s="17"/>
      <c r="F15" s="12"/>
    </row>
    <row r="16" spans="1:6" ht="30">
      <c r="A16" s="28">
        <v>10</v>
      </c>
      <c r="B16" s="18" t="s">
        <v>122</v>
      </c>
      <c r="C16" s="17" t="s">
        <v>115</v>
      </c>
      <c r="D16" s="17">
        <v>10</v>
      </c>
      <c r="E16" s="17"/>
      <c r="F16" s="12"/>
    </row>
    <row r="17" spans="1:6">
      <c r="A17" s="28">
        <v>11</v>
      </c>
      <c r="B17" s="18" t="s">
        <v>124</v>
      </c>
      <c r="C17" s="17" t="s">
        <v>118</v>
      </c>
      <c r="D17" s="17">
        <f>D11+(D9*2.5)</f>
        <v>1.8959999999999999</v>
      </c>
      <c r="E17" s="17"/>
      <c r="F17" s="12"/>
    </row>
    <row r="18" spans="1:6">
      <c r="A18" s="28">
        <v>12</v>
      </c>
      <c r="B18" s="21" t="s">
        <v>125</v>
      </c>
      <c r="C18" s="17" t="s">
        <v>118</v>
      </c>
      <c r="D18" s="17">
        <f>D17</f>
        <v>1.8959999999999999</v>
      </c>
      <c r="E18" s="17"/>
      <c r="F18" s="12"/>
    </row>
    <row r="19" spans="1:6">
      <c r="A19" s="28">
        <v>13</v>
      </c>
      <c r="B19" s="18" t="s">
        <v>127</v>
      </c>
      <c r="C19" s="17" t="s">
        <v>128</v>
      </c>
      <c r="D19" s="17">
        <v>50</v>
      </c>
      <c r="E19" s="17"/>
      <c r="F19" s="12"/>
    </row>
    <row r="20" spans="1:6">
      <c r="A20" s="28">
        <v>14</v>
      </c>
      <c r="B20" s="18" t="s">
        <v>386</v>
      </c>
      <c r="C20" s="28" t="s">
        <v>118</v>
      </c>
      <c r="D20" s="28">
        <f>D11</f>
        <v>0.69599999999999995</v>
      </c>
      <c r="E20" s="28"/>
      <c r="F20" s="12"/>
    </row>
    <row r="21" spans="1:6">
      <c r="A21" s="28">
        <v>15</v>
      </c>
      <c r="B21" s="18" t="s">
        <v>150</v>
      </c>
      <c r="C21" s="6" t="s">
        <v>51</v>
      </c>
      <c r="D21" s="17">
        <v>2</v>
      </c>
      <c r="E21" s="17"/>
      <c r="F21" s="12"/>
    </row>
    <row r="22" spans="1:6">
      <c r="A22" s="28">
        <v>16</v>
      </c>
      <c r="B22" s="18" t="s">
        <v>129</v>
      </c>
      <c r="C22" s="17" t="s">
        <v>115</v>
      </c>
      <c r="D22" s="17">
        <f>D16</f>
        <v>10</v>
      </c>
      <c r="E22" s="17"/>
      <c r="F22" s="12"/>
    </row>
    <row r="23" spans="1:6">
      <c r="A23" s="17"/>
      <c r="B23" s="4" t="s">
        <v>18</v>
      </c>
      <c r="C23" s="17"/>
      <c r="D23" s="17"/>
      <c r="E23" s="17"/>
      <c r="F23" s="16">
        <f>SUM(F7:F22)</f>
        <v>0</v>
      </c>
    </row>
  </sheetData>
  <mergeCells count="4">
    <mergeCell ref="A5:F5"/>
    <mergeCell ref="A1:F2"/>
    <mergeCell ref="A3:F3"/>
    <mergeCell ref="A4:F4"/>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C8" workbookViewId="0">
      <selection activeCell="H26" sqref="H26"/>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307</v>
      </c>
      <c r="B3" s="64"/>
      <c r="C3" s="64"/>
      <c r="D3" s="64"/>
      <c r="E3" s="64"/>
      <c r="F3" s="64"/>
    </row>
    <row r="4" spans="1:6">
      <c r="A4" s="63" t="s">
        <v>60</v>
      </c>
      <c r="B4" s="64"/>
      <c r="C4" s="64"/>
      <c r="D4" s="64"/>
      <c r="E4" s="64"/>
      <c r="F4" s="64"/>
    </row>
    <row r="5" spans="1:6">
      <c r="A5" s="65" t="s">
        <v>308</v>
      </c>
      <c r="B5" s="66"/>
      <c r="C5" s="66"/>
      <c r="D5" s="66"/>
      <c r="E5" s="66"/>
      <c r="F5" s="66"/>
    </row>
    <row r="6" spans="1:6">
      <c r="A6" s="13" t="s">
        <v>1</v>
      </c>
      <c r="B6" s="14" t="s">
        <v>37</v>
      </c>
      <c r="C6" s="14" t="s">
        <v>38</v>
      </c>
      <c r="D6" s="15" t="s">
        <v>39</v>
      </c>
      <c r="E6" s="14" t="s">
        <v>40</v>
      </c>
      <c r="F6" s="14" t="s">
        <v>41</v>
      </c>
    </row>
    <row r="7" spans="1:6">
      <c r="A7" s="17">
        <v>1</v>
      </c>
      <c r="B7" s="18" t="s">
        <v>112</v>
      </c>
      <c r="C7" s="19" t="s">
        <v>47</v>
      </c>
      <c r="D7" s="17">
        <f>D8*0.5*1*1</f>
        <v>2</v>
      </c>
      <c r="E7" s="17"/>
      <c r="F7" s="12"/>
    </row>
    <row r="8" spans="1:6">
      <c r="A8" s="17">
        <v>2</v>
      </c>
      <c r="B8" s="18" t="s">
        <v>113</v>
      </c>
      <c r="C8" s="17" t="s">
        <v>47</v>
      </c>
      <c r="D8" s="17">
        <v>4</v>
      </c>
      <c r="E8" s="17"/>
      <c r="F8" s="12"/>
    </row>
    <row r="9" spans="1:6">
      <c r="A9" s="28">
        <v>3</v>
      </c>
      <c r="B9" s="18" t="s">
        <v>114</v>
      </c>
      <c r="C9" s="17" t="s">
        <v>47</v>
      </c>
      <c r="D9" s="17">
        <v>0.48</v>
      </c>
      <c r="E9" s="17"/>
      <c r="F9" s="12"/>
    </row>
    <row r="10" spans="1:6">
      <c r="A10" s="28">
        <v>4</v>
      </c>
      <c r="B10" s="21" t="s">
        <v>116</v>
      </c>
      <c r="C10" s="17" t="s">
        <v>115</v>
      </c>
      <c r="D10" s="17">
        <f>8.76*2</f>
        <v>17.52</v>
      </c>
      <c r="E10" s="17"/>
      <c r="F10" s="12"/>
    </row>
    <row r="11" spans="1:6">
      <c r="A11" s="28">
        <v>5</v>
      </c>
      <c r="B11" s="18" t="s">
        <v>117</v>
      </c>
      <c r="C11" s="17" t="s">
        <v>118</v>
      </c>
      <c r="D11" s="17">
        <v>0.56699999999999995</v>
      </c>
      <c r="E11" s="17"/>
      <c r="F11" s="12"/>
    </row>
    <row r="12" spans="1:6">
      <c r="A12" s="28">
        <v>6</v>
      </c>
      <c r="B12" s="18" t="s">
        <v>123</v>
      </c>
      <c r="C12" s="17" t="s">
        <v>52</v>
      </c>
      <c r="D12" s="17">
        <v>35.4</v>
      </c>
      <c r="E12" s="17"/>
      <c r="F12" s="12"/>
    </row>
    <row r="13" spans="1:6">
      <c r="A13" s="28">
        <v>7</v>
      </c>
      <c r="B13" s="18" t="s">
        <v>130</v>
      </c>
      <c r="C13" s="17" t="s">
        <v>46</v>
      </c>
      <c r="D13" s="17">
        <f>D16*0.78</f>
        <v>6.24</v>
      </c>
      <c r="E13" s="17"/>
      <c r="F13" s="12"/>
    </row>
    <row r="14" spans="1:6">
      <c r="A14" s="28">
        <v>8</v>
      </c>
      <c r="B14" s="18" t="s">
        <v>120</v>
      </c>
      <c r="C14" s="17" t="s">
        <v>119</v>
      </c>
      <c r="D14" s="17">
        <f>101*2+4*4</f>
        <v>218</v>
      </c>
      <c r="E14" s="17"/>
      <c r="F14" s="12"/>
    </row>
    <row r="15" spans="1:6">
      <c r="A15" s="28">
        <v>9</v>
      </c>
      <c r="B15" s="21" t="s">
        <v>121</v>
      </c>
      <c r="C15" s="17" t="s">
        <v>51</v>
      </c>
      <c r="D15" s="17">
        <v>334</v>
      </c>
      <c r="E15" s="17"/>
      <c r="F15" s="12"/>
    </row>
    <row r="16" spans="1:6" ht="30">
      <c r="A16" s="28">
        <v>10</v>
      </c>
      <c r="B16" s="18" t="s">
        <v>122</v>
      </c>
      <c r="C16" s="17" t="s">
        <v>115</v>
      </c>
      <c r="D16" s="17">
        <v>8</v>
      </c>
      <c r="E16" s="17"/>
      <c r="F16" s="12"/>
    </row>
    <row r="17" spans="1:6">
      <c r="A17" s="28">
        <v>11</v>
      </c>
      <c r="B17" s="18" t="s">
        <v>124</v>
      </c>
      <c r="C17" s="17" t="s">
        <v>118</v>
      </c>
      <c r="D17" s="17">
        <f>D11+(D9*2.5)</f>
        <v>1.7669999999999999</v>
      </c>
      <c r="E17" s="17"/>
      <c r="F17" s="12"/>
    </row>
    <row r="18" spans="1:6">
      <c r="A18" s="28">
        <v>12</v>
      </c>
      <c r="B18" s="21" t="s">
        <v>125</v>
      </c>
      <c r="C18" s="17" t="s">
        <v>118</v>
      </c>
      <c r="D18" s="17">
        <f>D17</f>
        <v>1.7669999999999999</v>
      </c>
      <c r="E18" s="17"/>
      <c r="F18" s="12"/>
    </row>
    <row r="19" spans="1:6">
      <c r="A19" s="28">
        <v>13</v>
      </c>
      <c r="B19" s="18" t="s">
        <v>127</v>
      </c>
      <c r="C19" s="17" t="s">
        <v>128</v>
      </c>
      <c r="D19" s="17">
        <v>50</v>
      </c>
      <c r="E19" s="17"/>
      <c r="F19" s="12"/>
    </row>
    <row r="20" spans="1:6">
      <c r="A20" s="28">
        <v>14</v>
      </c>
      <c r="B20" s="18" t="s">
        <v>386</v>
      </c>
      <c r="C20" s="28" t="s">
        <v>118</v>
      </c>
      <c r="D20" s="28">
        <f>D11</f>
        <v>0.56699999999999995</v>
      </c>
      <c r="E20" s="28"/>
      <c r="F20" s="12"/>
    </row>
    <row r="21" spans="1:6">
      <c r="A21" s="28">
        <v>15</v>
      </c>
      <c r="B21" s="18" t="s">
        <v>150</v>
      </c>
      <c r="C21" s="6" t="s">
        <v>51</v>
      </c>
      <c r="D21" s="17">
        <v>2</v>
      </c>
      <c r="E21" s="17"/>
      <c r="F21" s="12"/>
    </row>
    <row r="22" spans="1:6">
      <c r="A22" s="28">
        <v>16</v>
      </c>
      <c r="B22" s="18" t="s">
        <v>129</v>
      </c>
      <c r="C22" s="17" t="s">
        <v>115</v>
      </c>
      <c r="D22" s="17">
        <f>D16</f>
        <v>8</v>
      </c>
      <c r="E22" s="17"/>
      <c r="F22" s="12"/>
    </row>
    <row r="23" spans="1:6">
      <c r="A23" s="17"/>
      <c r="B23" s="4" t="s">
        <v>18</v>
      </c>
      <c r="C23" s="17"/>
      <c r="D23" s="17"/>
      <c r="E23" s="17"/>
      <c r="F23" s="16">
        <f>SUM(F7:F22)</f>
        <v>0</v>
      </c>
    </row>
  </sheetData>
  <mergeCells count="4">
    <mergeCell ref="A1:F2"/>
    <mergeCell ref="A3:F3"/>
    <mergeCell ref="A4:F4"/>
    <mergeCell ref="A5:F5"/>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4" workbookViewId="0">
      <selection activeCell="H26" sqref="H26"/>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ht="15" customHeight="1">
      <c r="A1" s="61" t="s">
        <v>49</v>
      </c>
      <c r="B1" s="62"/>
      <c r="C1" s="62"/>
      <c r="D1" s="62"/>
      <c r="E1" s="62"/>
      <c r="F1" s="62"/>
    </row>
    <row r="2" spans="1:6">
      <c r="A2" s="61"/>
      <c r="B2" s="62"/>
      <c r="C2" s="62"/>
      <c r="D2" s="62"/>
      <c r="E2" s="62"/>
      <c r="F2" s="62"/>
    </row>
    <row r="3" spans="1:6">
      <c r="A3" s="63" t="s">
        <v>309</v>
      </c>
      <c r="B3" s="64"/>
      <c r="C3" s="64"/>
      <c r="D3" s="64"/>
      <c r="E3" s="64"/>
      <c r="F3" s="64"/>
    </row>
    <row r="4" spans="1:6">
      <c r="A4" s="63" t="s">
        <v>60</v>
      </c>
      <c r="B4" s="64"/>
      <c r="C4" s="64"/>
      <c r="D4" s="64"/>
      <c r="E4" s="64"/>
      <c r="F4" s="64"/>
    </row>
    <row r="5" spans="1:6">
      <c r="A5" s="65" t="s">
        <v>310</v>
      </c>
      <c r="B5" s="66"/>
      <c r="C5" s="66"/>
      <c r="D5" s="66"/>
      <c r="E5" s="66"/>
      <c r="F5" s="66"/>
    </row>
    <row r="6" spans="1:6">
      <c r="A6" s="13" t="s">
        <v>1</v>
      </c>
      <c r="B6" s="14" t="s">
        <v>37</v>
      </c>
      <c r="C6" s="14" t="s">
        <v>38</v>
      </c>
      <c r="D6" s="15" t="s">
        <v>39</v>
      </c>
      <c r="E6" s="14" t="s">
        <v>40</v>
      </c>
      <c r="F6" s="14" t="s">
        <v>41</v>
      </c>
    </row>
    <row r="7" spans="1:6">
      <c r="A7" s="17">
        <v>1</v>
      </c>
      <c r="B7" s="18" t="s">
        <v>112</v>
      </c>
      <c r="C7" s="19" t="s">
        <v>47</v>
      </c>
      <c r="D7" s="17">
        <f>D8*0.5*1*1</f>
        <v>8</v>
      </c>
      <c r="E7" s="17"/>
      <c r="F7" s="12"/>
    </row>
    <row r="8" spans="1:6">
      <c r="A8" s="17">
        <v>2</v>
      </c>
      <c r="B8" s="18" t="s">
        <v>113</v>
      </c>
      <c r="C8" s="17" t="s">
        <v>47</v>
      </c>
      <c r="D8" s="17">
        <v>16</v>
      </c>
      <c r="E8" s="17"/>
      <c r="F8" s="12"/>
    </row>
    <row r="9" spans="1:6">
      <c r="A9" s="28">
        <v>3</v>
      </c>
      <c r="B9" s="18" t="s">
        <v>114</v>
      </c>
      <c r="C9" s="17" t="s">
        <v>47</v>
      </c>
      <c r="D9" s="17">
        <v>0.48</v>
      </c>
      <c r="E9" s="17"/>
      <c r="F9" s="12"/>
    </row>
    <row r="10" spans="1:6">
      <c r="A10" s="28">
        <v>4</v>
      </c>
      <c r="B10" s="21" t="s">
        <v>116</v>
      </c>
      <c r="C10" s="17" t="s">
        <v>115</v>
      </c>
      <c r="D10" s="17">
        <f>8.76*2</f>
        <v>17.52</v>
      </c>
      <c r="E10" s="17"/>
      <c r="F10" s="12"/>
    </row>
    <row r="11" spans="1:6">
      <c r="A11" s="28">
        <v>5</v>
      </c>
      <c r="B11" s="18" t="s">
        <v>117</v>
      </c>
      <c r="C11" s="17" t="s">
        <v>118</v>
      </c>
      <c r="D11" s="17">
        <v>1.131</v>
      </c>
      <c r="E11" s="17"/>
      <c r="F11" s="12"/>
    </row>
    <row r="12" spans="1:6">
      <c r="A12" s="28">
        <v>6</v>
      </c>
      <c r="B12" s="18" t="s">
        <v>123</v>
      </c>
      <c r="C12" s="17" t="s">
        <v>52</v>
      </c>
      <c r="D12" s="17">
        <v>60</v>
      </c>
      <c r="E12" s="17"/>
      <c r="F12" s="12"/>
    </row>
    <row r="13" spans="1:6">
      <c r="A13" s="28">
        <v>7</v>
      </c>
      <c r="B13" s="18" t="s">
        <v>130</v>
      </c>
      <c r="C13" s="17" t="s">
        <v>46</v>
      </c>
      <c r="D13" s="17">
        <f>D16*0.78</f>
        <v>12.48</v>
      </c>
      <c r="E13" s="17"/>
      <c r="F13" s="12"/>
    </row>
    <row r="14" spans="1:6">
      <c r="A14" s="28">
        <v>8</v>
      </c>
      <c r="B14" s="18" t="s">
        <v>120</v>
      </c>
      <c r="C14" s="17" t="s">
        <v>119</v>
      </c>
      <c r="D14" s="17">
        <f>197*2+4*4</f>
        <v>410</v>
      </c>
      <c r="E14" s="17"/>
      <c r="F14" s="12"/>
    </row>
    <row r="15" spans="1:6">
      <c r="A15" s="28">
        <v>9</v>
      </c>
      <c r="B15" s="21" t="s">
        <v>121</v>
      </c>
      <c r="C15" s="17" t="s">
        <v>51</v>
      </c>
      <c r="D15" s="17">
        <v>654</v>
      </c>
      <c r="E15" s="17"/>
      <c r="F15" s="12"/>
    </row>
    <row r="16" spans="1:6" ht="30">
      <c r="A16" s="28">
        <v>10</v>
      </c>
      <c r="B16" s="18" t="s">
        <v>122</v>
      </c>
      <c r="C16" s="17" t="s">
        <v>115</v>
      </c>
      <c r="D16" s="17">
        <v>16</v>
      </c>
      <c r="E16" s="17"/>
      <c r="F16" s="12"/>
    </row>
    <row r="17" spans="1:6">
      <c r="A17" s="28">
        <v>11</v>
      </c>
      <c r="B17" s="18" t="s">
        <v>124</v>
      </c>
      <c r="C17" s="17" t="s">
        <v>118</v>
      </c>
      <c r="D17" s="17">
        <f>D11+(D9*2.5)</f>
        <v>2.331</v>
      </c>
      <c r="E17" s="17"/>
      <c r="F17" s="12"/>
    </row>
    <row r="18" spans="1:6">
      <c r="A18" s="28">
        <v>12</v>
      </c>
      <c r="B18" s="21" t="s">
        <v>125</v>
      </c>
      <c r="C18" s="17" t="s">
        <v>118</v>
      </c>
      <c r="D18" s="17">
        <f>D17</f>
        <v>2.331</v>
      </c>
      <c r="E18" s="17"/>
      <c r="F18" s="12"/>
    </row>
    <row r="19" spans="1:6">
      <c r="A19" s="28">
        <v>13</v>
      </c>
      <c r="B19" s="18" t="s">
        <v>127</v>
      </c>
      <c r="C19" s="17" t="s">
        <v>128</v>
      </c>
      <c r="D19" s="17">
        <v>50</v>
      </c>
      <c r="E19" s="17"/>
      <c r="F19" s="12"/>
    </row>
    <row r="20" spans="1:6">
      <c r="A20" s="28">
        <v>14</v>
      </c>
      <c r="B20" s="18" t="s">
        <v>386</v>
      </c>
      <c r="C20" s="28" t="s">
        <v>118</v>
      </c>
      <c r="D20" s="28">
        <f>D11</f>
        <v>1.131</v>
      </c>
      <c r="E20" s="28"/>
      <c r="F20" s="12"/>
    </row>
    <row r="21" spans="1:6">
      <c r="A21" s="28">
        <v>15</v>
      </c>
      <c r="B21" s="18" t="s">
        <v>150</v>
      </c>
      <c r="C21" s="6" t="s">
        <v>51</v>
      </c>
      <c r="D21" s="17">
        <v>2</v>
      </c>
      <c r="E21" s="17"/>
      <c r="F21" s="12"/>
    </row>
    <row r="22" spans="1:6">
      <c r="A22" s="28">
        <v>16</v>
      </c>
      <c r="B22" s="18" t="s">
        <v>129</v>
      </c>
      <c r="C22" s="17" t="s">
        <v>115</v>
      </c>
      <c r="D22" s="17">
        <f>D16</f>
        <v>16</v>
      </c>
      <c r="E22" s="17"/>
      <c r="F22" s="12"/>
    </row>
    <row r="23" spans="1:6">
      <c r="A23" s="17"/>
      <c r="B23" s="4" t="s">
        <v>18</v>
      </c>
      <c r="C23" s="17"/>
      <c r="D23" s="17"/>
      <c r="E23" s="17"/>
      <c r="F23" s="16">
        <f>SUM(F7:F22)</f>
        <v>0</v>
      </c>
    </row>
  </sheetData>
  <mergeCells count="4">
    <mergeCell ref="A1:F2"/>
    <mergeCell ref="A3:F3"/>
    <mergeCell ref="A4:F4"/>
    <mergeCell ref="A5:F5"/>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C5" workbookViewId="0">
      <selection activeCell="H26" sqref="H26"/>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311</v>
      </c>
      <c r="B3" s="64"/>
      <c r="C3" s="64"/>
      <c r="D3" s="64"/>
      <c r="E3" s="64"/>
      <c r="F3" s="64"/>
    </row>
    <row r="4" spans="1:6">
      <c r="A4" s="63" t="s">
        <v>60</v>
      </c>
      <c r="B4" s="64"/>
      <c r="C4" s="64"/>
      <c r="D4" s="64"/>
      <c r="E4" s="64"/>
      <c r="F4" s="64"/>
    </row>
    <row r="5" spans="1:6">
      <c r="A5" s="65" t="s">
        <v>312</v>
      </c>
      <c r="B5" s="66"/>
      <c r="C5" s="66"/>
      <c r="D5" s="66"/>
      <c r="E5" s="66"/>
      <c r="F5" s="66"/>
    </row>
    <row r="6" spans="1:6">
      <c r="A6" s="13" t="s">
        <v>1</v>
      </c>
      <c r="B6" s="14" t="s">
        <v>37</v>
      </c>
      <c r="C6" s="14" t="s">
        <v>38</v>
      </c>
      <c r="D6" s="15" t="s">
        <v>39</v>
      </c>
      <c r="E6" s="14" t="s">
        <v>40</v>
      </c>
      <c r="F6" s="14" t="s">
        <v>41</v>
      </c>
    </row>
    <row r="7" spans="1:6">
      <c r="A7" s="17">
        <v>1</v>
      </c>
      <c r="B7" s="18" t="s">
        <v>112</v>
      </c>
      <c r="C7" s="19" t="s">
        <v>47</v>
      </c>
      <c r="D7" s="17">
        <v>1</v>
      </c>
      <c r="E7" s="17"/>
      <c r="F7" s="12"/>
    </row>
    <row r="8" spans="1:6">
      <c r="A8" s="17">
        <v>2</v>
      </c>
      <c r="B8" s="18" t="s">
        <v>113</v>
      </c>
      <c r="C8" s="17" t="s">
        <v>47</v>
      </c>
      <c r="D8" s="17">
        <v>0</v>
      </c>
      <c r="E8" s="17"/>
      <c r="F8" s="12"/>
    </row>
    <row r="9" spans="1:6">
      <c r="A9" s="28">
        <v>3</v>
      </c>
      <c r="B9" s="18" t="s">
        <v>114</v>
      </c>
      <c r="C9" s="17" t="s">
        <v>47</v>
      </c>
      <c r="D9" s="17">
        <v>0.48</v>
      </c>
      <c r="E9" s="17"/>
      <c r="F9" s="12"/>
    </row>
    <row r="10" spans="1:6">
      <c r="A10" s="28">
        <v>4</v>
      </c>
      <c r="B10" s="21" t="s">
        <v>116</v>
      </c>
      <c r="C10" s="17" t="s">
        <v>115</v>
      </c>
      <c r="D10" s="17">
        <f>8.76*2</f>
        <v>17.52</v>
      </c>
      <c r="E10" s="17"/>
      <c r="F10" s="12"/>
    </row>
    <row r="11" spans="1:6">
      <c r="A11" s="28">
        <v>5</v>
      </c>
      <c r="B11" s="18" t="s">
        <v>117</v>
      </c>
      <c r="C11" s="17" t="s">
        <v>118</v>
      </c>
      <c r="D11" s="17">
        <v>0.56699999999999995</v>
      </c>
      <c r="E11" s="17"/>
      <c r="F11" s="12"/>
    </row>
    <row r="12" spans="1:6">
      <c r="A12" s="28">
        <v>6</v>
      </c>
      <c r="B12" s="18" t="s">
        <v>123</v>
      </c>
      <c r="C12" s="17" t="s">
        <v>52</v>
      </c>
      <c r="D12" s="17">
        <v>35.4</v>
      </c>
      <c r="E12" s="17"/>
      <c r="F12" s="12"/>
    </row>
    <row r="13" spans="1:6">
      <c r="A13" s="28">
        <v>7</v>
      </c>
      <c r="B13" s="18" t="s">
        <v>130</v>
      </c>
      <c r="C13" s="17" t="s">
        <v>46</v>
      </c>
      <c r="D13" s="17">
        <f>D16*0.78</f>
        <v>6.24</v>
      </c>
      <c r="E13" s="17"/>
      <c r="F13" s="12"/>
    </row>
    <row r="14" spans="1:6">
      <c r="A14" s="28">
        <v>8</v>
      </c>
      <c r="B14" s="18" t="s">
        <v>120</v>
      </c>
      <c r="C14" s="17" t="s">
        <v>119</v>
      </c>
      <c r="D14" s="17">
        <f>101*2+4*4</f>
        <v>218</v>
      </c>
      <c r="E14" s="17"/>
      <c r="F14" s="12"/>
    </row>
    <row r="15" spans="1:6">
      <c r="A15" s="28">
        <v>9</v>
      </c>
      <c r="B15" s="21" t="s">
        <v>121</v>
      </c>
      <c r="C15" s="17" t="s">
        <v>51</v>
      </c>
      <c r="D15" s="17">
        <v>334</v>
      </c>
      <c r="E15" s="17"/>
      <c r="F15" s="12"/>
    </row>
    <row r="16" spans="1:6" ht="30">
      <c r="A16" s="28">
        <v>10</v>
      </c>
      <c r="B16" s="18" t="s">
        <v>122</v>
      </c>
      <c r="C16" s="17" t="s">
        <v>115</v>
      </c>
      <c r="D16" s="17">
        <v>8</v>
      </c>
      <c r="E16" s="17"/>
      <c r="F16" s="12"/>
    </row>
    <row r="17" spans="1:6">
      <c r="A17" s="28">
        <v>11</v>
      </c>
      <c r="B17" s="18" t="s">
        <v>124</v>
      </c>
      <c r="C17" s="17" t="s">
        <v>118</v>
      </c>
      <c r="D17" s="17">
        <f>D11+(D9*2.5)</f>
        <v>1.7669999999999999</v>
      </c>
      <c r="E17" s="17"/>
      <c r="F17" s="12"/>
    </row>
    <row r="18" spans="1:6">
      <c r="A18" s="28">
        <v>12</v>
      </c>
      <c r="B18" s="21" t="s">
        <v>125</v>
      </c>
      <c r="C18" s="17" t="s">
        <v>118</v>
      </c>
      <c r="D18" s="17">
        <f>D17</f>
        <v>1.7669999999999999</v>
      </c>
      <c r="E18" s="17"/>
      <c r="F18" s="12"/>
    </row>
    <row r="19" spans="1:6">
      <c r="A19" s="28">
        <v>13</v>
      </c>
      <c r="B19" s="18" t="s">
        <v>127</v>
      </c>
      <c r="C19" s="17" t="s">
        <v>128</v>
      </c>
      <c r="D19" s="17">
        <v>50</v>
      </c>
      <c r="E19" s="17"/>
      <c r="F19" s="12"/>
    </row>
    <row r="20" spans="1:6">
      <c r="A20" s="28">
        <v>14</v>
      </c>
      <c r="B20" s="18" t="s">
        <v>386</v>
      </c>
      <c r="C20" s="28" t="s">
        <v>118</v>
      </c>
      <c r="D20" s="28">
        <f>D11</f>
        <v>0.56699999999999995</v>
      </c>
      <c r="E20" s="28"/>
      <c r="F20" s="12"/>
    </row>
    <row r="21" spans="1:6">
      <c r="A21" s="28">
        <v>15</v>
      </c>
      <c r="B21" s="18" t="s">
        <v>150</v>
      </c>
      <c r="C21" s="6" t="s">
        <v>51</v>
      </c>
      <c r="D21" s="17">
        <v>2</v>
      </c>
      <c r="E21" s="17"/>
      <c r="F21" s="12"/>
    </row>
    <row r="22" spans="1:6">
      <c r="A22" s="28">
        <v>16</v>
      </c>
      <c r="B22" s="18" t="s">
        <v>129</v>
      </c>
      <c r="C22" s="17" t="s">
        <v>115</v>
      </c>
      <c r="D22" s="17">
        <f>D16</f>
        <v>8</v>
      </c>
      <c r="E22" s="17"/>
      <c r="F22" s="12"/>
    </row>
    <row r="23" spans="1:6">
      <c r="A23" s="17"/>
      <c r="B23" s="4" t="s">
        <v>18</v>
      </c>
      <c r="C23" s="17"/>
      <c r="D23" s="17"/>
      <c r="E23" s="17"/>
      <c r="F23" s="16">
        <f>SUM(F7:F22)</f>
        <v>0</v>
      </c>
    </row>
  </sheetData>
  <mergeCells count="4">
    <mergeCell ref="A1:F2"/>
    <mergeCell ref="A3:F3"/>
    <mergeCell ref="A4:F4"/>
    <mergeCell ref="A5:F5"/>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C5" workbookViewId="0">
      <selection activeCell="H26" sqref="H26"/>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313</v>
      </c>
      <c r="B3" s="64"/>
      <c r="C3" s="64"/>
      <c r="D3" s="64"/>
      <c r="E3" s="64"/>
      <c r="F3" s="64"/>
    </row>
    <row r="4" spans="1:6">
      <c r="A4" s="63" t="s">
        <v>60</v>
      </c>
      <c r="B4" s="64"/>
      <c r="C4" s="64"/>
      <c r="D4" s="64"/>
      <c r="E4" s="64"/>
      <c r="F4" s="64"/>
    </row>
    <row r="5" spans="1:6">
      <c r="A5" s="65" t="s">
        <v>314</v>
      </c>
      <c r="B5" s="66"/>
      <c r="C5" s="66"/>
      <c r="D5" s="66"/>
      <c r="E5" s="66"/>
      <c r="F5" s="66"/>
    </row>
    <row r="6" spans="1:6">
      <c r="A6" s="13" t="s">
        <v>1</v>
      </c>
      <c r="B6" s="14" t="s">
        <v>37</v>
      </c>
      <c r="C6" s="14" t="s">
        <v>38</v>
      </c>
      <c r="D6" s="15" t="s">
        <v>39</v>
      </c>
      <c r="E6" s="14" t="s">
        <v>40</v>
      </c>
      <c r="F6" s="14" t="s">
        <v>41</v>
      </c>
    </row>
    <row r="7" spans="1:6">
      <c r="A7" s="17">
        <v>1</v>
      </c>
      <c r="B7" s="18" t="s">
        <v>112</v>
      </c>
      <c r="C7" s="19" t="s">
        <v>47</v>
      </c>
      <c r="D7" s="17">
        <f>D8*0.5*1*1</f>
        <v>2</v>
      </c>
      <c r="E7" s="17"/>
      <c r="F7" s="12"/>
    </row>
    <row r="8" spans="1:6">
      <c r="A8" s="17">
        <v>2</v>
      </c>
      <c r="B8" s="18" t="s">
        <v>113</v>
      </c>
      <c r="C8" s="17" t="s">
        <v>47</v>
      </c>
      <c r="D8" s="17">
        <v>4</v>
      </c>
      <c r="E8" s="17"/>
      <c r="F8" s="12"/>
    </row>
    <row r="9" spans="1:6">
      <c r="A9" s="28">
        <v>3</v>
      </c>
      <c r="B9" s="18" t="s">
        <v>114</v>
      </c>
      <c r="C9" s="17" t="s">
        <v>47</v>
      </c>
      <c r="D9" s="17">
        <v>0.48</v>
      </c>
      <c r="E9" s="17"/>
      <c r="F9" s="12"/>
    </row>
    <row r="10" spans="1:6">
      <c r="A10" s="28">
        <v>4</v>
      </c>
      <c r="B10" s="21" t="s">
        <v>116</v>
      </c>
      <c r="C10" s="17" t="s">
        <v>115</v>
      </c>
      <c r="D10" s="17">
        <f>8.76*2</f>
        <v>17.52</v>
      </c>
      <c r="E10" s="17"/>
      <c r="F10" s="12"/>
    </row>
    <row r="11" spans="1:6">
      <c r="A11" s="28">
        <v>5</v>
      </c>
      <c r="B11" s="18" t="s">
        <v>117</v>
      </c>
      <c r="C11" s="17" t="s">
        <v>118</v>
      </c>
      <c r="D11" s="17">
        <v>0.56699999999999995</v>
      </c>
      <c r="E11" s="17"/>
      <c r="F11" s="12"/>
    </row>
    <row r="12" spans="1:6">
      <c r="A12" s="28">
        <v>6</v>
      </c>
      <c r="B12" s="18" t="s">
        <v>123</v>
      </c>
      <c r="C12" s="17" t="s">
        <v>52</v>
      </c>
      <c r="D12" s="17">
        <v>35.4</v>
      </c>
      <c r="E12" s="17"/>
      <c r="F12" s="12"/>
    </row>
    <row r="13" spans="1:6">
      <c r="A13" s="28">
        <v>7</v>
      </c>
      <c r="B13" s="18" t="s">
        <v>130</v>
      </c>
      <c r="C13" s="17" t="s">
        <v>46</v>
      </c>
      <c r="D13" s="17">
        <f>D16*0.78</f>
        <v>6.24</v>
      </c>
      <c r="E13" s="17"/>
      <c r="F13" s="12"/>
    </row>
    <row r="14" spans="1:6">
      <c r="A14" s="28">
        <v>8</v>
      </c>
      <c r="B14" s="18" t="s">
        <v>120</v>
      </c>
      <c r="C14" s="17" t="s">
        <v>119</v>
      </c>
      <c r="D14" s="17">
        <f>101*2+4*4</f>
        <v>218</v>
      </c>
      <c r="E14" s="17"/>
      <c r="F14" s="12"/>
    </row>
    <row r="15" spans="1:6">
      <c r="A15" s="28">
        <v>9</v>
      </c>
      <c r="B15" s="21" t="s">
        <v>121</v>
      </c>
      <c r="C15" s="17" t="s">
        <v>51</v>
      </c>
      <c r="D15" s="17">
        <v>334</v>
      </c>
      <c r="E15" s="17"/>
      <c r="F15" s="12"/>
    </row>
    <row r="16" spans="1:6" ht="30">
      <c r="A16" s="28">
        <v>10</v>
      </c>
      <c r="B16" s="18" t="s">
        <v>122</v>
      </c>
      <c r="C16" s="17" t="s">
        <v>115</v>
      </c>
      <c r="D16" s="17">
        <v>8</v>
      </c>
      <c r="E16" s="17"/>
      <c r="F16" s="12"/>
    </row>
    <row r="17" spans="1:6">
      <c r="A17" s="28">
        <v>11</v>
      </c>
      <c r="B17" s="18" t="s">
        <v>124</v>
      </c>
      <c r="C17" s="17" t="s">
        <v>118</v>
      </c>
      <c r="D17" s="17">
        <f>D11+(D9*2.5)</f>
        <v>1.7669999999999999</v>
      </c>
      <c r="E17" s="17"/>
      <c r="F17" s="12"/>
    </row>
    <row r="18" spans="1:6">
      <c r="A18" s="28">
        <v>12</v>
      </c>
      <c r="B18" s="21" t="s">
        <v>125</v>
      </c>
      <c r="C18" s="17" t="s">
        <v>118</v>
      </c>
      <c r="D18" s="17">
        <f>D17</f>
        <v>1.7669999999999999</v>
      </c>
      <c r="E18" s="17"/>
      <c r="F18" s="12"/>
    </row>
    <row r="19" spans="1:6">
      <c r="A19" s="28">
        <v>13</v>
      </c>
      <c r="B19" s="18" t="s">
        <v>127</v>
      </c>
      <c r="C19" s="17" t="s">
        <v>128</v>
      </c>
      <c r="D19" s="17">
        <v>50</v>
      </c>
      <c r="E19" s="17"/>
      <c r="F19" s="12"/>
    </row>
    <row r="20" spans="1:6">
      <c r="A20" s="28">
        <v>14</v>
      </c>
      <c r="B20" s="18" t="s">
        <v>386</v>
      </c>
      <c r="C20" s="28" t="s">
        <v>118</v>
      </c>
      <c r="D20" s="28">
        <f>D11</f>
        <v>0.56699999999999995</v>
      </c>
      <c r="E20" s="28"/>
      <c r="F20" s="12"/>
    </row>
    <row r="21" spans="1:6">
      <c r="A21" s="28">
        <v>15</v>
      </c>
      <c r="B21" s="18" t="s">
        <v>150</v>
      </c>
      <c r="C21" s="6" t="s">
        <v>51</v>
      </c>
      <c r="D21" s="17">
        <v>2</v>
      </c>
      <c r="E21" s="17"/>
      <c r="F21" s="12"/>
    </row>
    <row r="22" spans="1:6">
      <c r="A22" s="28">
        <v>16</v>
      </c>
      <c r="B22" s="18" t="s">
        <v>129</v>
      </c>
      <c r="C22" s="17" t="s">
        <v>115</v>
      </c>
      <c r="D22" s="17">
        <f>D16</f>
        <v>8</v>
      </c>
      <c r="E22" s="17"/>
      <c r="F22" s="12"/>
    </row>
    <row r="23" spans="1:6">
      <c r="A23" s="17"/>
      <c r="B23" s="4" t="s">
        <v>18</v>
      </c>
      <c r="C23" s="17"/>
      <c r="D23" s="17"/>
      <c r="E23" s="17"/>
      <c r="F23" s="16">
        <f>SUM(F7:F22)</f>
        <v>0</v>
      </c>
    </row>
  </sheetData>
  <mergeCells count="4">
    <mergeCell ref="A1:F2"/>
    <mergeCell ref="A3:F3"/>
    <mergeCell ref="A4:F4"/>
    <mergeCell ref="A5:F5"/>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B5" workbookViewId="0">
      <selection activeCell="H26" sqref="H26"/>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315</v>
      </c>
      <c r="B3" s="64"/>
      <c r="C3" s="64"/>
      <c r="D3" s="64"/>
      <c r="E3" s="64"/>
      <c r="F3" s="64"/>
    </row>
    <row r="4" spans="1:6">
      <c r="A4" s="63" t="s">
        <v>60</v>
      </c>
      <c r="B4" s="64"/>
      <c r="C4" s="64"/>
      <c r="D4" s="64"/>
      <c r="E4" s="64"/>
      <c r="F4" s="64"/>
    </row>
    <row r="5" spans="1:6">
      <c r="A5" s="65" t="s">
        <v>316</v>
      </c>
      <c r="B5" s="66"/>
      <c r="C5" s="66"/>
      <c r="D5" s="66"/>
      <c r="E5" s="66"/>
      <c r="F5" s="66"/>
    </row>
    <row r="6" spans="1:6">
      <c r="A6" s="13" t="s">
        <v>1</v>
      </c>
      <c r="B6" s="14" t="s">
        <v>37</v>
      </c>
      <c r="C6" s="14" t="s">
        <v>38</v>
      </c>
      <c r="D6" s="15" t="s">
        <v>39</v>
      </c>
      <c r="E6" s="14" t="s">
        <v>40</v>
      </c>
      <c r="F6" s="14" t="s">
        <v>41</v>
      </c>
    </row>
    <row r="7" spans="1:6">
      <c r="A7" s="17">
        <v>1</v>
      </c>
      <c r="B7" s="18" t="s">
        <v>112</v>
      </c>
      <c r="C7" s="19" t="s">
        <v>47</v>
      </c>
      <c r="D7" s="17">
        <f>D8*0.5*1*1</f>
        <v>2</v>
      </c>
      <c r="E7" s="17"/>
      <c r="F7" s="12"/>
    </row>
    <row r="8" spans="1:6">
      <c r="A8" s="17">
        <v>2</v>
      </c>
      <c r="B8" s="18" t="s">
        <v>113</v>
      </c>
      <c r="C8" s="17" t="s">
        <v>47</v>
      </c>
      <c r="D8" s="17">
        <v>4</v>
      </c>
      <c r="E8" s="17"/>
      <c r="F8" s="12"/>
    </row>
    <row r="9" spans="1:6">
      <c r="A9" s="28">
        <v>3</v>
      </c>
      <c r="B9" s="18" t="s">
        <v>114</v>
      </c>
      <c r="C9" s="17" t="s">
        <v>47</v>
      </c>
      <c r="D9" s="17">
        <v>0.48</v>
      </c>
      <c r="E9" s="17"/>
      <c r="F9" s="12"/>
    </row>
    <row r="10" spans="1:6">
      <c r="A10" s="28">
        <v>4</v>
      </c>
      <c r="B10" s="21" t="s">
        <v>116</v>
      </c>
      <c r="C10" s="17" t="s">
        <v>115</v>
      </c>
      <c r="D10" s="17">
        <f>8.76*2</f>
        <v>17.52</v>
      </c>
      <c r="E10" s="17"/>
      <c r="F10" s="12"/>
    </row>
    <row r="11" spans="1:6">
      <c r="A11" s="28">
        <v>5</v>
      </c>
      <c r="B11" s="18" t="s">
        <v>117</v>
      </c>
      <c r="C11" s="17" t="s">
        <v>118</v>
      </c>
      <c r="D11" s="17">
        <v>0.56699999999999995</v>
      </c>
      <c r="E11" s="17"/>
      <c r="F11" s="12"/>
    </row>
    <row r="12" spans="1:6">
      <c r="A12" s="28">
        <v>6</v>
      </c>
      <c r="B12" s="18" t="s">
        <v>123</v>
      </c>
      <c r="C12" s="17" t="s">
        <v>52</v>
      </c>
      <c r="D12" s="17">
        <v>35.4</v>
      </c>
      <c r="E12" s="17"/>
      <c r="F12" s="12"/>
    </row>
    <row r="13" spans="1:6">
      <c r="A13" s="28">
        <v>7</v>
      </c>
      <c r="B13" s="18" t="s">
        <v>130</v>
      </c>
      <c r="C13" s="17" t="s">
        <v>46</v>
      </c>
      <c r="D13" s="17">
        <f>D16*0.78</f>
        <v>6.24</v>
      </c>
      <c r="E13" s="17"/>
      <c r="F13" s="12"/>
    </row>
    <row r="14" spans="1:6">
      <c r="A14" s="28">
        <v>8</v>
      </c>
      <c r="B14" s="18" t="s">
        <v>120</v>
      </c>
      <c r="C14" s="17" t="s">
        <v>119</v>
      </c>
      <c r="D14" s="17">
        <f>101*2+4*4</f>
        <v>218</v>
      </c>
      <c r="E14" s="17"/>
      <c r="F14" s="12"/>
    </row>
    <row r="15" spans="1:6">
      <c r="A15" s="28">
        <v>9</v>
      </c>
      <c r="B15" s="21" t="s">
        <v>121</v>
      </c>
      <c r="C15" s="17" t="s">
        <v>51</v>
      </c>
      <c r="D15" s="17">
        <v>334</v>
      </c>
      <c r="E15" s="17"/>
      <c r="F15" s="12"/>
    </row>
    <row r="16" spans="1:6" ht="30">
      <c r="A16" s="28">
        <v>10</v>
      </c>
      <c r="B16" s="18" t="s">
        <v>122</v>
      </c>
      <c r="C16" s="17" t="s">
        <v>115</v>
      </c>
      <c r="D16" s="17">
        <v>8</v>
      </c>
      <c r="E16" s="17"/>
      <c r="F16" s="12"/>
    </row>
    <row r="17" spans="1:6">
      <c r="A17" s="28">
        <v>11</v>
      </c>
      <c r="B17" s="18" t="s">
        <v>124</v>
      </c>
      <c r="C17" s="17" t="s">
        <v>118</v>
      </c>
      <c r="D17" s="17">
        <f>D11+(D9*2.5)</f>
        <v>1.7669999999999999</v>
      </c>
      <c r="E17" s="17"/>
      <c r="F17" s="12"/>
    </row>
    <row r="18" spans="1:6">
      <c r="A18" s="28">
        <v>12</v>
      </c>
      <c r="B18" s="21" t="s">
        <v>125</v>
      </c>
      <c r="C18" s="17" t="s">
        <v>118</v>
      </c>
      <c r="D18" s="17">
        <f>D17</f>
        <v>1.7669999999999999</v>
      </c>
      <c r="E18" s="17"/>
      <c r="F18" s="12"/>
    </row>
    <row r="19" spans="1:6">
      <c r="A19" s="28">
        <v>13</v>
      </c>
      <c r="B19" s="18" t="s">
        <v>127</v>
      </c>
      <c r="C19" s="17" t="s">
        <v>128</v>
      </c>
      <c r="D19" s="17">
        <v>50</v>
      </c>
      <c r="E19" s="17"/>
      <c r="F19" s="12"/>
    </row>
    <row r="20" spans="1:6">
      <c r="A20" s="28">
        <v>14</v>
      </c>
      <c r="B20" s="18" t="s">
        <v>386</v>
      </c>
      <c r="C20" s="28" t="s">
        <v>118</v>
      </c>
      <c r="D20" s="28">
        <f>D11</f>
        <v>0.56699999999999995</v>
      </c>
      <c r="E20" s="28"/>
      <c r="F20" s="12"/>
    </row>
    <row r="21" spans="1:6">
      <c r="A21" s="28">
        <v>15</v>
      </c>
      <c r="B21" s="18" t="s">
        <v>150</v>
      </c>
      <c r="C21" s="6" t="s">
        <v>51</v>
      </c>
      <c r="D21" s="17">
        <v>2</v>
      </c>
      <c r="E21" s="17"/>
      <c r="F21" s="12"/>
    </row>
    <row r="22" spans="1:6">
      <c r="A22" s="28">
        <v>16</v>
      </c>
      <c r="B22" s="18" t="s">
        <v>129</v>
      </c>
      <c r="C22" s="17" t="s">
        <v>115</v>
      </c>
      <c r="D22" s="17">
        <f>D16</f>
        <v>8</v>
      </c>
      <c r="E22" s="17"/>
      <c r="F22" s="12"/>
    </row>
    <row r="23" spans="1:6">
      <c r="A23" s="17"/>
      <c r="B23" s="4" t="s">
        <v>18</v>
      </c>
      <c r="C23" s="17"/>
      <c r="D23" s="17"/>
      <c r="E23" s="17"/>
      <c r="F23" s="16">
        <f>SUM(F7:F22)</f>
        <v>0</v>
      </c>
    </row>
  </sheetData>
  <mergeCells count="4">
    <mergeCell ref="A1:F2"/>
    <mergeCell ref="A3:F3"/>
    <mergeCell ref="A4:F4"/>
    <mergeCell ref="A5:F5"/>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5" workbookViewId="0">
      <selection activeCell="H26" sqref="H26"/>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318</v>
      </c>
      <c r="B3" s="64"/>
      <c r="C3" s="64"/>
      <c r="D3" s="64"/>
      <c r="E3" s="64"/>
      <c r="F3" s="64"/>
    </row>
    <row r="4" spans="1:6">
      <c r="A4" s="63" t="s">
        <v>60</v>
      </c>
      <c r="B4" s="64"/>
      <c r="C4" s="64"/>
      <c r="D4" s="64"/>
      <c r="E4" s="64"/>
      <c r="F4" s="64"/>
    </row>
    <row r="5" spans="1:6">
      <c r="A5" s="65" t="s">
        <v>319</v>
      </c>
      <c r="B5" s="66"/>
      <c r="C5" s="66"/>
      <c r="D5" s="66"/>
      <c r="E5" s="66"/>
      <c r="F5" s="66"/>
    </row>
    <row r="6" spans="1:6">
      <c r="A6" s="13" t="s">
        <v>1</v>
      </c>
      <c r="B6" s="14" t="s">
        <v>37</v>
      </c>
      <c r="C6" s="14" t="s">
        <v>38</v>
      </c>
      <c r="D6" s="15" t="s">
        <v>39</v>
      </c>
      <c r="E6" s="14" t="s">
        <v>40</v>
      </c>
      <c r="F6" s="14" t="s">
        <v>41</v>
      </c>
    </row>
    <row r="7" spans="1:6">
      <c r="A7" s="17">
        <v>1</v>
      </c>
      <c r="B7" s="18" t="s">
        <v>112</v>
      </c>
      <c r="C7" s="19" t="s">
        <v>47</v>
      </c>
      <c r="D7" s="17">
        <f>D8*0.5*1*1</f>
        <v>2</v>
      </c>
      <c r="E7" s="17"/>
      <c r="F7" s="12"/>
    </row>
    <row r="8" spans="1:6">
      <c r="A8" s="17">
        <v>2</v>
      </c>
      <c r="B8" s="18" t="s">
        <v>113</v>
      </c>
      <c r="C8" s="17" t="s">
        <v>47</v>
      </c>
      <c r="D8" s="17">
        <v>4</v>
      </c>
      <c r="E8" s="17"/>
      <c r="F8" s="12"/>
    </row>
    <row r="9" spans="1:6">
      <c r="A9" s="28">
        <v>3</v>
      </c>
      <c r="B9" s="18" t="s">
        <v>114</v>
      </c>
      <c r="C9" s="17" t="s">
        <v>47</v>
      </c>
      <c r="D9" s="17">
        <v>0.48</v>
      </c>
      <c r="E9" s="17"/>
      <c r="F9" s="12"/>
    </row>
    <row r="10" spans="1:6">
      <c r="A10" s="28">
        <v>4</v>
      </c>
      <c r="B10" s="21" t="s">
        <v>116</v>
      </c>
      <c r="C10" s="17" t="s">
        <v>115</v>
      </c>
      <c r="D10" s="17">
        <f>8.76*2</f>
        <v>17.52</v>
      </c>
      <c r="E10" s="17"/>
      <c r="F10" s="12"/>
    </row>
    <row r="11" spans="1:6">
      <c r="A11" s="28">
        <v>5</v>
      </c>
      <c r="B11" s="18" t="s">
        <v>117</v>
      </c>
      <c r="C11" s="17" t="s">
        <v>118</v>
      </c>
      <c r="D11" s="17">
        <v>0.56699999999999995</v>
      </c>
      <c r="E11" s="17"/>
      <c r="F11" s="12"/>
    </row>
    <row r="12" spans="1:6">
      <c r="A12" s="28">
        <v>6</v>
      </c>
      <c r="B12" s="18" t="s">
        <v>123</v>
      </c>
      <c r="C12" s="17" t="s">
        <v>52</v>
      </c>
      <c r="D12" s="17">
        <v>35.4</v>
      </c>
      <c r="E12" s="17"/>
      <c r="F12" s="12"/>
    </row>
    <row r="13" spans="1:6">
      <c r="A13" s="28">
        <v>7</v>
      </c>
      <c r="B13" s="18" t="s">
        <v>130</v>
      </c>
      <c r="C13" s="17" t="s">
        <v>46</v>
      </c>
      <c r="D13" s="17">
        <f>D16*0.78</f>
        <v>6.24</v>
      </c>
      <c r="E13" s="17"/>
      <c r="F13" s="12"/>
    </row>
    <row r="14" spans="1:6">
      <c r="A14" s="28">
        <v>8</v>
      </c>
      <c r="B14" s="18" t="s">
        <v>120</v>
      </c>
      <c r="C14" s="17" t="s">
        <v>119</v>
      </c>
      <c r="D14" s="17">
        <f>101*2+4*4</f>
        <v>218</v>
      </c>
      <c r="E14" s="17"/>
      <c r="F14" s="12"/>
    </row>
    <row r="15" spans="1:6">
      <c r="A15" s="28">
        <v>9</v>
      </c>
      <c r="B15" s="21" t="s">
        <v>121</v>
      </c>
      <c r="C15" s="17" t="s">
        <v>51</v>
      </c>
      <c r="D15" s="17">
        <v>334</v>
      </c>
      <c r="E15" s="17"/>
      <c r="F15" s="12"/>
    </row>
    <row r="16" spans="1:6" ht="30">
      <c r="A16" s="28">
        <v>10</v>
      </c>
      <c r="B16" s="18" t="s">
        <v>122</v>
      </c>
      <c r="C16" s="17" t="s">
        <v>115</v>
      </c>
      <c r="D16" s="17">
        <v>8</v>
      </c>
      <c r="E16" s="17"/>
      <c r="F16" s="12"/>
    </row>
    <row r="17" spans="1:6">
      <c r="A17" s="28">
        <v>11</v>
      </c>
      <c r="B17" s="18" t="s">
        <v>124</v>
      </c>
      <c r="C17" s="17" t="s">
        <v>118</v>
      </c>
      <c r="D17" s="17">
        <f>D11+(D9*2.5)</f>
        <v>1.7669999999999999</v>
      </c>
      <c r="E17" s="17"/>
      <c r="F17" s="12"/>
    </row>
    <row r="18" spans="1:6">
      <c r="A18" s="28">
        <v>12</v>
      </c>
      <c r="B18" s="21" t="s">
        <v>125</v>
      </c>
      <c r="C18" s="17" t="s">
        <v>118</v>
      </c>
      <c r="D18" s="17">
        <f>D17</f>
        <v>1.7669999999999999</v>
      </c>
      <c r="E18" s="17"/>
      <c r="F18" s="12"/>
    </row>
    <row r="19" spans="1:6">
      <c r="A19" s="28">
        <v>13</v>
      </c>
      <c r="B19" s="18" t="s">
        <v>127</v>
      </c>
      <c r="C19" s="17" t="s">
        <v>128</v>
      </c>
      <c r="D19" s="17">
        <v>50</v>
      </c>
      <c r="E19" s="17"/>
      <c r="F19" s="12"/>
    </row>
    <row r="20" spans="1:6">
      <c r="A20" s="28">
        <v>14</v>
      </c>
      <c r="B20" s="18" t="s">
        <v>386</v>
      </c>
      <c r="C20" s="28" t="s">
        <v>118</v>
      </c>
      <c r="D20" s="28">
        <f>D11</f>
        <v>0.56699999999999995</v>
      </c>
      <c r="E20" s="28"/>
      <c r="F20" s="12"/>
    </row>
    <row r="21" spans="1:6">
      <c r="A21" s="28">
        <v>15</v>
      </c>
      <c r="B21" s="18" t="s">
        <v>150</v>
      </c>
      <c r="C21" s="6" t="s">
        <v>51</v>
      </c>
      <c r="D21" s="17">
        <v>2</v>
      </c>
      <c r="E21" s="17"/>
      <c r="F21" s="12"/>
    </row>
    <row r="22" spans="1:6">
      <c r="A22" s="28">
        <v>16</v>
      </c>
      <c r="B22" s="18" t="s">
        <v>129</v>
      </c>
      <c r="C22" s="17" t="s">
        <v>115</v>
      </c>
      <c r="D22" s="17">
        <f>D16</f>
        <v>8</v>
      </c>
      <c r="E22" s="17"/>
      <c r="F22" s="12"/>
    </row>
    <row r="23" spans="1:6">
      <c r="A23" s="17"/>
      <c r="B23" s="4" t="s">
        <v>18</v>
      </c>
      <c r="C23" s="17"/>
      <c r="D23" s="17"/>
      <c r="E23" s="17"/>
      <c r="F23" s="16">
        <f>SUM(F7:F22)</f>
        <v>0</v>
      </c>
    </row>
  </sheetData>
  <mergeCells count="4">
    <mergeCell ref="A1:F2"/>
    <mergeCell ref="A3:F3"/>
    <mergeCell ref="A4:F4"/>
    <mergeCell ref="A5:F5"/>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A5" workbookViewId="0">
      <selection activeCell="H26" sqref="H26"/>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317</v>
      </c>
      <c r="B3" s="64"/>
      <c r="C3" s="64"/>
      <c r="D3" s="64"/>
      <c r="E3" s="64"/>
      <c r="F3" s="64"/>
    </row>
    <row r="4" spans="1:6">
      <c r="A4" s="63" t="s">
        <v>60</v>
      </c>
      <c r="B4" s="64"/>
      <c r="C4" s="64"/>
      <c r="D4" s="64"/>
      <c r="E4" s="64"/>
      <c r="F4" s="64"/>
    </row>
    <row r="5" spans="1:6">
      <c r="A5" s="65" t="s">
        <v>320</v>
      </c>
      <c r="B5" s="66"/>
      <c r="C5" s="66"/>
      <c r="D5" s="66"/>
      <c r="E5" s="66"/>
      <c r="F5" s="66"/>
    </row>
    <row r="6" spans="1:6">
      <c r="A6" s="13" t="s">
        <v>1</v>
      </c>
      <c r="B6" s="14" t="s">
        <v>37</v>
      </c>
      <c r="C6" s="14" t="s">
        <v>38</v>
      </c>
      <c r="D6" s="15" t="s">
        <v>39</v>
      </c>
      <c r="E6" s="14" t="s">
        <v>40</v>
      </c>
      <c r="F6" s="14" t="s">
        <v>41</v>
      </c>
    </row>
    <row r="7" spans="1:6">
      <c r="A7" s="17">
        <v>1</v>
      </c>
      <c r="B7" s="18" t="s">
        <v>112</v>
      </c>
      <c r="C7" s="19" t="s">
        <v>47</v>
      </c>
      <c r="D7" s="17">
        <f>D8*0.5*1*1</f>
        <v>2</v>
      </c>
      <c r="E7" s="17"/>
      <c r="F7" s="12"/>
    </row>
    <row r="8" spans="1:6">
      <c r="A8" s="17">
        <v>2</v>
      </c>
      <c r="B8" s="18" t="s">
        <v>113</v>
      </c>
      <c r="C8" s="17" t="s">
        <v>47</v>
      </c>
      <c r="D8" s="17">
        <v>4</v>
      </c>
      <c r="E8" s="17"/>
      <c r="F8" s="12"/>
    </row>
    <row r="9" spans="1:6">
      <c r="A9" s="28">
        <v>3</v>
      </c>
      <c r="B9" s="18" t="s">
        <v>114</v>
      </c>
      <c r="C9" s="17" t="s">
        <v>47</v>
      </c>
      <c r="D9" s="17">
        <v>0.48</v>
      </c>
      <c r="E9" s="17"/>
      <c r="F9" s="12"/>
    </row>
    <row r="10" spans="1:6">
      <c r="A10" s="28">
        <v>4</v>
      </c>
      <c r="B10" s="21" t="s">
        <v>116</v>
      </c>
      <c r="C10" s="17" t="s">
        <v>115</v>
      </c>
      <c r="D10" s="17">
        <f>8.76*2</f>
        <v>17.52</v>
      </c>
      <c r="E10" s="17"/>
      <c r="F10" s="12"/>
    </row>
    <row r="11" spans="1:6">
      <c r="A11" s="28">
        <v>5</v>
      </c>
      <c r="B11" s="18" t="s">
        <v>117</v>
      </c>
      <c r="C11" s="17" t="s">
        <v>118</v>
      </c>
      <c r="D11" s="17">
        <v>0.56699999999999995</v>
      </c>
      <c r="E11" s="17"/>
      <c r="F11" s="12"/>
    </row>
    <row r="12" spans="1:6">
      <c r="A12" s="28">
        <v>6</v>
      </c>
      <c r="B12" s="18" t="s">
        <v>123</v>
      </c>
      <c r="C12" s="17" t="s">
        <v>52</v>
      </c>
      <c r="D12" s="17">
        <v>35.4</v>
      </c>
      <c r="E12" s="17"/>
      <c r="F12" s="12"/>
    </row>
    <row r="13" spans="1:6">
      <c r="A13" s="28">
        <v>7</v>
      </c>
      <c r="B13" s="18" t="s">
        <v>130</v>
      </c>
      <c r="C13" s="17" t="s">
        <v>46</v>
      </c>
      <c r="D13" s="17">
        <f>D16*0.78</f>
        <v>6.24</v>
      </c>
      <c r="E13" s="17"/>
      <c r="F13" s="12"/>
    </row>
    <row r="14" spans="1:6">
      <c r="A14" s="28">
        <v>8</v>
      </c>
      <c r="B14" s="18" t="s">
        <v>120</v>
      </c>
      <c r="C14" s="17" t="s">
        <v>119</v>
      </c>
      <c r="D14" s="17">
        <f>101*2+4*4</f>
        <v>218</v>
      </c>
      <c r="E14" s="17"/>
      <c r="F14" s="12"/>
    </row>
    <row r="15" spans="1:6">
      <c r="A15" s="28">
        <v>9</v>
      </c>
      <c r="B15" s="21" t="s">
        <v>121</v>
      </c>
      <c r="C15" s="17" t="s">
        <v>51</v>
      </c>
      <c r="D15" s="17">
        <v>334</v>
      </c>
      <c r="E15" s="17"/>
      <c r="F15" s="12"/>
    </row>
    <row r="16" spans="1:6" ht="30">
      <c r="A16" s="28">
        <v>10</v>
      </c>
      <c r="B16" s="18" t="s">
        <v>122</v>
      </c>
      <c r="C16" s="17" t="s">
        <v>115</v>
      </c>
      <c r="D16" s="17">
        <v>8</v>
      </c>
      <c r="E16" s="17"/>
      <c r="F16" s="12"/>
    </row>
    <row r="17" spans="1:6">
      <c r="A17" s="28">
        <v>11</v>
      </c>
      <c r="B17" s="18" t="s">
        <v>124</v>
      </c>
      <c r="C17" s="17" t="s">
        <v>118</v>
      </c>
      <c r="D17" s="17">
        <f>D11+(D9*2.5)</f>
        <v>1.7669999999999999</v>
      </c>
      <c r="E17" s="17"/>
      <c r="F17" s="12"/>
    </row>
    <row r="18" spans="1:6">
      <c r="A18" s="28">
        <v>12</v>
      </c>
      <c r="B18" s="21" t="s">
        <v>125</v>
      </c>
      <c r="C18" s="17" t="s">
        <v>118</v>
      </c>
      <c r="D18" s="17">
        <f>D17</f>
        <v>1.7669999999999999</v>
      </c>
      <c r="E18" s="17"/>
      <c r="F18" s="12"/>
    </row>
    <row r="19" spans="1:6">
      <c r="A19" s="28">
        <v>13</v>
      </c>
      <c r="B19" s="18" t="s">
        <v>127</v>
      </c>
      <c r="C19" s="17" t="s">
        <v>128</v>
      </c>
      <c r="D19" s="17">
        <v>50</v>
      </c>
      <c r="E19" s="17"/>
      <c r="F19" s="12"/>
    </row>
    <row r="20" spans="1:6">
      <c r="A20" s="28">
        <v>14</v>
      </c>
      <c r="B20" s="18" t="s">
        <v>386</v>
      </c>
      <c r="C20" s="28" t="s">
        <v>118</v>
      </c>
      <c r="D20" s="28">
        <f>D11</f>
        <v>0.56699999999999995</v>
      </c>
      <c r="E20" s="28"/>
      <c r="F20" s="12"/>
    </row>
    <row r="21" spans="1:6">
      <c r="A21" s="28">
        <v>15</v>
      </c>
      <c r="B21" s="18" t="s">
        <v>150</v>
      </c>
      <c r="C21" s="6" t="s">
        <v>51</v>
      </c>
      <c r="D21" s="17">
        <v>2</v>
      </c>
      <c r="E21" s="17"/>
      <c r="F21" s="12"/>
    </row>
    <row r="22" spans="1:6">
      <c r="A22" s="28">
        <v>16</v>
      </c>
      <c r="B22" s="18" t="s">
        <v>129</v>
      </c>
      <c r="C22" s="17" t="s">
        <v>115</v>
      </c>
      <c r="D22" s="17">
        <f>D16</f>
        <v>8</v>
      </c>
      <c r="E22" s="17"/>
      <c r="F22" s="12"/>
    </row>
    <row r="23" spans="1:6">
      <c r="A23" s="17"/>
      <c r="B23" s="4" t="s">
        <v>18</v>
      </c>
      <c r="C23" s="17"/>
      <c r="D23" s="17"/>
      <c r="E23" s="17"/>
      <c r="F23" s="16">
        <f>SUM(F7:F22)</f>
        <v>0</v>
      </c>
    </row>
  </sheetData>
  <mergeCells count="4">
    <mergeCell ref="A1:F2"/>
    <mergeCell ref="A3:F3"/>
    <mergeCell ref="A4:F4"/>
    <mergeCell ref="A5:F5"/>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2"/>
  <sheetViews>
    <sheetView topLeftCell="B1" workbookViewId="0">
      <selection activeCell="H26" sqref="H26"/>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321</v>
      </c>
      <c r="B3" s="64"/>
      <c r="C3" s="64"/>
      <c r="D3" s="64"/>
      <c r="E3" s="64"/>
      <c r="F3" s="64"/>
    </row>
    <row r="4" spans="1:6">
      <c r="A4" s="63" t="s">
        <v>60</v>
      </c>
      <c r="B4" s="64"/>
      <c r="C4" s="64"/>
      <c r="D4" s="64"/>
      <c r="E4" s="64"/>
      <c r="F4" s="64"/>
    </row>
    <row r="5" spans="1:6">
      <c r="A5" s="65" t="s">
        <v>267</v>
      </c>
      <c r="B5" s="66"/>
      <c r="C5" s="66"/>
      <c r="D5" s="66"/>
      <c r="E5" s="66"/>
      <c r="F5" s="66"/>
    </row>
    <row r="6" spans="1:6">
      <c r="A6" s="13" t="s">
        <v>1</v>
      </c>
      <c r="B6" s="14" t="s">
        <v>37</v>
      </c>
      <c r="C6" s="14" t="s">
        <v>38</v>
      </c>
      <c r="D6" s="15" t="s">
        <v>39</v>
      </c>
      <c r="E6" s="14" t="s">
        <v>40</v>
      </c>
      <c r="F6" s="14" t="s">
        <v>41</v>
      </c>
    </row>
    <row r="7" spans="1:6">
      <c r="A7" s="17">
        <v>1</v>
      </c>
      <c r="B7" s="18" t="s">
        <v>322</v>
      </c>
      <c r="C7" s="17" t="s">
        <v>115</v>
      </c>
      <c r="D7" s="17">
        <v>8</v>
      </c>
      <c r="E7" s="17"/>
      <c r="F7" s="12"/>
    </row>
    <row r="8" spans="1:6">
      <c r="A8" s="17">
        <v>2</v>
      </c>
      <c r="B8" s="18"/>
      <c r="C8" s="17"/>
      <c r="D8" s="17"/>
      <c r="E8" s="17"/>
      <c r="F8" s="12"/>
    </row>
    <row r="9" spans="1:6">
      <c r="A9" s="17">
        <v>3</v>
      </c>
      <c r="B9" s="18"/>
      <c r="C9" s="17"/>
      <c r="D9" s="17"/>
      <c r="E9" s="17"/>
      <c r="F9" s="12"/>
    </row>
    <row r="10" spans="1:6">
      <c r="A10" s="17">
        <v>4</v>
      </c>
      <c r="B10" s="21"/>
      <c r="C10" s="17"/>
      <c r="D10" s="17"/>
      <c r="E10" s="17"/>
      <c r="F10" s="12"/>
    </row>
    <row r="11" spans="1:6">
      <c r="A11" s="17">
        <v>5</v>
      </c>
      <c r="B11" s="18"/>
      <c r="C11" s="17"/>
      <c r="D11" s="17"/>
      <c r="E11" s="17"/>
      <c r="F11" s="12"/>
    </row>
    <row r="12" spans="1:6">
      <c r="A12" s="17">
        <v>6</v>
      </c>
      <c r="B12" s="18"/>
      <c r="C12" s="17"/>
      <c r="D12" s="17"/>
      <c r="E12" s="17"/>
      <c r="F12" s="12"/>
    </row>
    <row r="13" spans="1:6">
      <c r="A13" s="17">
        <v>7</v>
      </c>
      <c r="B13" s="18"/>
      <c r="C13" s="17"/>
      <c r="D13" s="17"/>
      <c r="E13" s="17"/>
      <c r="F13" s="12"/>
    </row>
    <row r="14" spans="1:6">
      <c r="A14" s="17">
        <v>8</v>
      </c>
      <c r="B14" s="18"/>
      <c r="C14" s="17"/>
      <c r="D14" s="17"/>
      <c r="E14" s="17"/>
      <c r="F14" s="12"/>
    </row>
    <row r="15" spans="1:6">
      <c r="A15" s="17">
        <v>9</v>
      </c>
      <c r="B15" s="21"/>
      <c r="C15" s="17"/>
      <c r="D15" s="17"/>
      <c r="E15" s="17"/>
      <c r="F15" s="12"/>
    </row>
    <row r="16" spans="1:6">
      <c r="A16" s="17">
        <v>10</v>
      </c>
      <c r="B16" s="18"/>
      <c r="C16" s="17"/>
      <c r="D16" s="17"/>
      <c r="E16" s="17"/>
      <c r="F16" s="12"/>
    </row>
    <row r="17" spans="1:6">
      <c r="A17" s="17">
        <v>11</v>
      </c>
      <c r="B17" s="18"/>
      <c r="C17" s="17"/>
      <c r="D17" s="17"/>
      <c r="E17" s="17"/>
      <c r="F17" s="12"/>
    </row>
    <row r="18" spans="1:6">
      <c r="A18" s="17">
        <v>12</v>
      </c>
      <c r="B18" s="21"/>
      <c r="C18" s="17"/>
      <c r="D18" s="17"/>
      <c r="E18" s="17"/>
      <c r="F18" s="12"/>
    </row>
    <row r="19" spans="1:6">
      <c r="A19" s="17">
        <v>13</v>
      </c>
      <c r="B19" s="18"/>
      <c r="C19" s="17"/>
      <c r="D19" s="17"/>
      <c r="E19" s="17"/>
      <c r="F19" s="12"/>
    </row>
    <row r="20" spans="1:6">
      <c r="A20" s="17">
        <v>14</v>
      </c>
      <c r="B20" s="18"/>
      <c r="C20" s="6"/>
      <c r="D20" s="17"/>
      <c r="E20" s="17"/>
      <c r="F20" s="12"/>
    </row>
    <row r="21" spans="1:6">
      <c r="A21" s="17">
        <v>15</v>
      </c>
      <c r="B21" s="18"/>
      <c r="C21" s="17"/>
      <c r="D21" s="17"/>
      <c r="E21" s="17"/>
      <c r="F21" s="12"/>
    </row>
    <row r="22" spans="1:6">
      <c r="A22" s="17"/>
      <c r="B22" s="4" t="s">
        <v>18</v>
      </c>
      <c r="C22" s="17"/>
      <c r="D22" s="17"/>
      <c r="E22" s="17"/>
      <c r="F22" s="16">
        <f>SUM(F7:F21)</f>
        <v>0</v>
      </c>
    </row>
  </sheetData>
  <mergeCells count="4">
    <mergeCell ref="A5:F5"/>
    <mergeCell ref="A1:F2"/>
    <mergeCell ref="A3:F3"/>
    <mergeCell ref="A4:F4"/>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7"/>
  <sheetViews>
    <sheetView topLeftCell="A4" zoomScaleNormal="100" workbookViewId="0">
      <selection activeCell="D8" sqref="D8"/>
    </sheetView>
  </sheetViews>
  <sheetFormatPr defaultRowHeight="13.5"/>
  <cols>
    <col min="1" max="1" width="5.7109375" style="101" customWidth="1"/>
    <col min="2" max="2" width="14.7109375" style="102" customWidth="1"/>
    <col min="3" max="3" width="58" style="68" customWidth="1"/>
    <col min="4" max="4" width="26.7109375" style="68" customWidth="1"/>
    <col min="5" max="5" width="9.140625" style="68"/>
    <col min="6" max="6" width="13.140625" style="68" customWidth="1"/>
    <col min="7" max="7" width="11.5703125" style="68" bestFit="1" customWidth="1"/>
    <col min="8" max="16384" width="9.140625" style="68"/>
  </cols>
  <sheetData>
    <row r="1" spans="1:7" ht="46.5" customHeight="1">
      <c r="A1" s="67" t="s">
        <v>390</v>
      </c>
      <c r="B1" s="67"/>
      <c r="C1" s="67"/>
      <c r="D1" s="67"/>
    </row>
    <row r="2" spans="1:7" ht="31.5" customHeight="1" thickBot="1">
      <c r="A2" s="69" t="s">
        <v>391</v>
      </c>
      <c r="B2" s="69"/>
      <c r="C2" s="69"/>
      <c r="D2" s="69"/>
    </row>
    <row r="3" spans="1:7" ht="16.5" customHeight="1">
      <c r="A3" s="70" t="s">
        <v>392</v>
      </c>
      <c r="B3" s="71" t="s">
        <v>393</v>
      </c>
      <c r="C3" s="72" t="s">
        <v>394</v>
      </c>
      <c r="D3" s="71" t="s">
        <v>395</v>
      </c>
    </row>
    <row r="4" spans="1:7" ht="41.45" customHeight="1">
      <c r="A4" s="73"/>
      <c r="B4" s="74"/>
      <c r="C4" s="75"/>
      <c r="D4" s="74"/>
    </row>
    <row r="5" spans="1:7" ht="23.25" customHeight="1" thickBot="1">
      <c r="A5" s="76">
        <v>1</v>
      </c>
      <c r="B5" s="77">
        <v>2</v>
      </c>
      <c r="C5" s="78">
        <v>3</v>
      </c>
      <c r="D5" s="77">
        <v>4</v>
      </c>
    </row>
    <row r="6" spans="1:7" ht="12.75" customHeight="1" thickTop="1">
      <c r="A6" s="79"/>
      <c r="B6" s="80"/>
      <c r="C6" s="81"/>
      <c r="D6" s="80"/>
    </row>
    <row r="7" spans="1:7" ht="30" customHeight="1">
      <c r="A7" s="82" t="s">
        <v>5</v>
      </c>
      <c r="B7" s="83" t="s">
        <v>6</v>
      </c>
      <c r="C7" s="84" t="s">
        <v>396</v>
      </c>
      <c r="D7" s="85">
        <f>sv!D14</f>
        <v>0</v>
      </c>
    </row>
    <row r="8" spans="1:7" ht="30" customHeight="1">
      <c r="A8" s="82" t="s">
        <v>7</v>
      </c>
      <c r="B8" s="83" t="s">
        <v>8</v>
      </c>
      <c r="C8" s="86" t="s">
        <v>397</v>
      </c>
      <c r="D8" s="85">
        <f>'D-nakr'!D10</f>
        <v>0</v>
      </c>
    </row>
    <row r="9" spans="1:7" ht="21" customHeight="1">
      <c r="A9" s="82"/>
      <c r="B9" s="83"/>
      <c r="C9" s="87" t="s">
        <v>398</v>
      </c>
      <c r="D9" s="88">
        <f>D7+D8</f>
        <v>0</v>
      </c>
    </row>
    <row r="10" spans="1:7" ht="26.25" customHeight="1">
      <c r="A10" s="82"/>
      <c r="B10" s="89"/>
      <c r="C10" s="87" t="s">
        <v>399</v>
      </c>
      <c r="D10" s="85">
        <f>D9*18%</f>
        <v>0</v>
      </c>
    </row>
    <row r="11" spans="1:7" ht="26.25" customHeight="1">
      <c r="A11" s="90"/>
      <c r="B11" s="91"/>
      <c r="C11" s="84" t="s">
        <v>388</v>
      </c>
      <c r="D11" s="92">
        <f>D9+D10</f>
        <v>0</v>
      </c>
    </row>
    <row r="12" spans="1:7" ht="26.25" customHeight="1">
      <c r="A12" s="90"/>
      <c r="B12" s="91"/>
      <c r="C12" s="93" t="s">
        <v>400</v>
      </c>
      <c r="D12" s="94">
        <f>D11*5%</f>
        <v>0</v>
      </c>
    </row>
    <row r="13" spans="1:7" ht="26.25" customHeight="1" thickBot="1">
      <c r="A13" s="95"/>
      <c r="B13" s="96"/>
      <c r="C13" s="97" t="s">
        <v>13</v>
      </c>
      <c r="D13" s="98">
        <f>D11+D12</f>
        <v>0</v>
      </c>
      <c r="F13" s="99"/>
    </row>
    <row r="15" spans="1:7" ht="35.25" customHeight="1">
      <c r="A15" s="100" t="s">
        <v>349</v>
      </c>
      <c r="B15" s="100"/>
      <c r="C15" s="100"/>
      <c r="D15" s="100"/>
    </row>
    <row r="16" spans="1:7">
      <c r="F16" s="99"/>
      <c r="G16" s="99"/>
    </row>
    <row r="17" ht="14.25" customHeight="1"/>
  </sheetData>
  <mergeCells count="7">
    <mergeCell ref="A15:D15"/>
    <mergeCell ref="A1:D1"/>
    <mergeCell ref="A2:D2"/>
    <mergeCell ref="A3:A4"/>
    <mergeCell ref="B3:B4"/>
    <mergeCell ref="C3:C4"/>
    <mergeCell ref="D3:D4"/>
  </mergeCells>
  <pageMargins left="0.64" right="0" top="0" bottom="0.39370078740157483" header="0" footer="0"/>
  <pageSetup paperSize="9" scale="95" orientation="portrait" r:id="rId1"/>
  <headerFooter>
    <oddFooter>&amp;C&amp;8ნაკრები ხარჯთაღრიცხვა&amp;R&amp;8=&amp;P=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0"/>
  <sheetViews>
    <sheetView topLeftCell="A3" workbookViewId="0">
      <selection activeCell="E18" sqref="E18"/>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42</v>
      </c>
      <c r="B3" s="64"/>
      <c r="C3" s="64"/>
      <c r="D3" s="64"/>
      <c r="E3" s="64"/>
      <c r="F3" s="64"/>
    </row>
    <row r="4" spans="1:6">
      <c r="A4" s="63" t="s">
        <v>48</v>
      </c>
      <c r="B4" s="64"/>
      <c r="C4" s="64"/>
      <c r="D4" s="64"/>
      <c r="E4" s="64"/>
      <c r="F4" s="64"/>
    </row>
    <row r="5" spans="1:6">
      <c r="A5" s="65" t="s">
        <v>50</v>
      </c>
      <c r="B5" s="66"/>
      <c r="C5" s="66"/>
      <c r="D5" s="66"/>
      <c r="E5" s="66"/>
      <c r="F5" s="66"/>
    </row>
    <row r="6" spans="1:6">
      <c r="A6" s="13" t="s">
        <v>1</v>
      </c>
      <c r="B6" s="14" t="s">
        <v>37</v>
      </c>
      <c r="C6" s="14" t="s">
        <v>38</v>
      </c>
      <c r="D6" s="15" t="s">
        <v>39</v>
      </c>
      <c r="E6" s="14" t="s">
        <v>40</v>
      </c>
      <c r="F6" s="14" t="s">
        <v>41</v>
      </c>
    </row>
    <row r="7" spans="1:6">
      <c r="A7" s="3">
        <v>1</v>
      </c>
      <c r="B7" s="18" t="s">
        <v>56</v>
      </c>
      <c r="C7" s="19" t="s">
        <v>47</v>
      </c>
      <c r="D7" s="3">
        <f>D8*0.5*0.5*0.5</f>
        <v>2.375</v>
      </c>
      <c r="E7" s="3"/>
      <c r="F7" s="12"/>
    </row>
    <row r="8" spans="1:6" ht="30">
      <c r="A8" s="3">
        <v>2</v>
      </c>
      <c r="B8" s="18" t="s">
        <v>57</v>
      </c>
      <c r="C8" s="3" t="s">
        <v>51</v>
      </c>
      <c r="D8" s="3">
        <v>19</v>
      </c>
      <c r="E8" s="3"/>
      <c r="F8" s="12"/>
    </row>
    <row r="9" spans="1:6">
      <c r="A9" s="3">
        <v>3</v>
      </c>
      <c r="B9" s="18" t="s">
        <v>58</v>
      </c>
      <c r="C9" s="3" t="s">
        <v>47</v>
      </c>
      <c r="D9" s="3">
        <f>D7</f>
        <v>2.375</v>
      </c>
      <c r="E9" s="3"/>
      <c r="F9" s="12"/>
    </row>
    <row r="10" spans="1:6">
      <c r="A10" s="3">
        <v>4</v>
      </c>
      <c r="B10" s="18" t="s">
        <v>101</v>
      </c>
      <c r="C10" s="3" t="s">
        <v>51</v>
      </c>
      <c r="D10" s="3">
        <v>14</v>
      </c>
      <c r="E10" s="3"/>
      <c r="F10" s="12"/>
    </row>
    <row r="11" spans="1:6">
      <c r="A11" s="3">
        <v>5</v>
      </c>
      <c r="B11" s="18" t="s">
        <v>102</v>
      </c>
      <c r="C11" s="3" t="s">
        <v>51</v>
      </c>
      <c r="D11" s="3">
        <v>27</v>
      </c>
      <c r="E11" s="3"/>
      <c r="F11" s="12"/>
    </row>
    <row r="12" spans="1:6">
      <c r="A12" s="3">
        <v>6</v>
      </c>
      <c r="B12" s="18" t="s">
        <v>53</v>
      </c>
      <c r="C12" s="3" t="s">
        <v>51</v>
      </c>
      <c r="D12" s="3">
        <v>20</v>
      </c>
      <c r="E12" s="3"/>
      <c r="F12" s="12"/>
    </row>
    <row r="13" spans="1:6">
      <c r="A13" s="3">
        <v>7</v>
      </c>
      <c r="B13" s="18" t="s">
        <v>106</v>
      </c>
      <c r="C13" s="3" t="s">
        <v>51</v>
      </c>
      <c r="D13" s="3">
        <f>D8</f>
        <v>19</v>
      </c>
      <c r="E13" s="3"/>
      <c r="F13" s="12"/>
    </row>
    <row r="14" spans="1:6">
      <c r="A14" s="3">
        <v>8</v>
      </c>
      <c r="B14" s="18" t="s">
        <v>107</v>
      </c>
      <c r="C14" s="3" t="s">
        <v>51</v>
      </c>
      <c r="D14" s="3">
        <v>8</v>
      </c>
      <c r="E14" s="3"/>
      <c r="F14" s="12"/>
    </row>
    <row r="15" spans="1:6">
      <c r="A15" s="3">
        <v>9</v>
      </c>
      <c r="B15" s="18" t="s">
        <v>105</v>
      </c>
      <c r="C15" s="3" t="s">
        <v>51</v>
      </c>
      <c r="D15" s="3">
        <v>0</v>
      </c>
      <c r="E15" s="3"/>
      <c r="F15" s="12"/>
    </row>
    <row r="16" spans="1:6">
      <c r="A16" s="3">
        <v>10</v>
      </c>
      <c r="B16" s="18" t="s">
        <v>54</v>
      </c>
      <c r="C16" s="3" t="s">
        <v>51</v>
      </c>
      <c r="D16" s="3">
        <f>(D10+D11+D14+D15+D13+D12)*2</f>
        <v>176</v>
      </c>
      <c r="E16" s="3"/>
      <c r="F16" s="12"/>
    </row>
    <row r="17" spans="1:6">
      <c r="A17" s="3">
        <v>11</v>
      </c>
      <c r="B17" s="18" t="s">
        <v>55</v>
      </c>
      <c r="C17" s="3" t="s">
        <v>51</v>
      </c>
      <c r="D17" s="3">
        <f>D16*2</f>
        <v>352</v>
      </c>
      <c r="E17" s="3"/>
      <c r="F17" s="12"/>
    </row>
    <row r="18" spans="1:6" ht="30">
      <c r="A18" s="3">
        <v>12</v>
      </c>
      <c r="B18" s="18" t="s">
        <v>109</v>
      </c>
      <c r="C18" s="3" t="s">
        <v>51</v>
      </c>
      <c r="D18" s="3">
        <v>4</v>
      </c>
      <c r="E18" s="3"/>
      <c r="F18" s="12"/>
    </row>
    <row r="19" spans="1:6" ht="45">
      <c r="A19" s="3">
        <v>13</v>
      </c>
      <c r="B19" s="22" t="s">
        <v>126</v>
      </c>
      <c r="C19" s="23" t="s">
        <v>51</v>
      </c>
      <c r="D19" s="23">
        <f>D8</f>
        <v>19</v>
      </c>
      <c r="E19" s="23"/>
      <c r="F19" s="24"/>
    </row>
    <row r="20" spans="1:6">
      <c r="A20" s="25"/>
      <c r="B20" s="4" t="s">
        <v>18</v>
      </c>
      <c r="C20" s="25"/>
      <c r="D20" s="25"/>
      <c r="E20" s="25"/>
      <c r="F20" s="16">
        <f>SUM(F7:F19)</f>
        <v>0</v>
      </c>
    </row>
  </sheetData>
  <mergeCells count="4">
    <mergeCell ref="A1:F2"/>
    <mergeCell ref="A3:F3"/>
    <mergeCell ref="A4:F4"/>
    <mergeCell ref="A5:F5"/>
  </mergeCells>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2"/>
  <sheetViews>
    <sheetView zoomScaleNormal="100" workbookViewId="0">
      <selection activeCell="D7" sqref="D7"/>
    </sheetView>
  </sheetViews>
  <sheetFormatPr defaultRowHeight="12.75"/>
  <cols>
    <col min="1" max="1" width="9.140625" style="104"/>
    <col min="2" max="2" width="17.140625" style="104" customWidth="1"/>
    <col min="3" max="3" width="38.85546875" style="104" customWidth="1"/>
    <col min="4" max="4" width="29" style="104" customWidth="1"/>
    <col min="5" max="5" width="9.140625" style="104"/>
    <col min="6" max="6" width="11.28515625" style="104" customWidth="1"/>
    <col min="7" max="7" width="10.140625" style="104" bestFit="1" customWidth="1"/>
    <col min="8" max="16384" width="9.140625" style="104"/>
  </cols>
  <sheetData>
    <row r="1" spans="1:7" ht="43.5" customHeight="1">
      <c r="A1" s="103" t="s">
        <v>390</v>
      </c>
      <c r="B1" s="103"/>
      <c r="C1" s="103"/>
      <c r="D1" s="103"/>
    </row>
    <row r="2" spans="1:7" ht="24" customHeight="1">
      <c r="A2" s="105" t="s">
        <v>401</v>
      </c>
      <c r="B2" s="106"/>
      <c r="C2" s="106"/>
      <c r="D2" s="106"/>
    </row>
    <row r="3" spans="1:7" ht="21.75" thickBot="1">
      <c r="A3" s="107"/>
      <c r="B3" s="107"/>
      <c r="C3" s="107"/>
      <c r="D3" s="107"/>
    </row>
    <row r="4" spans="1:7" ht="21.75" thickBot="1">
      <c r="A4" s="108" t="s">
        <v>392</v>
      </c>
      <c r="B4" s="109" t="s">
        <v>393</v>
      </c>
      <c r="C4" s="109" t="s">
        <v>402</v>
      </c>
      <c r="D4" s="110" t="s">
        <v>403</v>
      </c>
    </row>
    <row r="5" spans="1:7" ht="18">
      <c r="A5" s="111">
        <v>1</v>
      </c>
      <c r="B5" s="112">
        <v>2</v>
      </c>
      <c r="C5" s="112">
        <v>3</v>
      </c>
      <c r="D5" s="113">
        <v>4</v>
      </c>
    </row>
    <row r="6" spans="1:7" ht="18">
      <c r="A6" s="111"/>
      <c r="B6" s="112"/>
      <c r="C6" s="112"/>
      <c r="D6" s="113"/>
    </row>
    <row r="7" spans="1:7" ht="28.5" customHeight="1">
      <c r="A7" s="114">
        <v>1</v>
      </c>
      <c r="B7" s="37" t="s">
        <v>346</v>
      </c>
      <c r="C7" s="115" t="s">
        <v>404</v>
      </c>
      <c r="D7" s="116">
        <f>'D-dgiuri'!G11</f>
        <v>0</v>
      </c>
    </row>
    <row r="8" spans="1:7" ht="28.5" customHeight="1">
      <c r="A8" s="114">
        <v>2</v>
      </c>
      <c r="B8" s="37" t="s">
        <v>347</v>
      </c>
      <c r="C8" s="115" t="s">
        <v>405</v>
      </c>
      <c r="D8" s="116">
        <f>'D-dgiuri'!G41</f>
        <v>0</v>
      </c>
    </row>
    <row r="9" spans="1:7" ht="28.5" customHeight="1">
      <c r="A9" s="114">
        <v>3</v>
      </c>
      <c r="B9" s="37" t="s">
        <v>348</v>
      </c>
      <c r="C9" s="115" t="s">
        <v>406</v>
      </c>
      <c r="D9" s="116">
        <f>'D-dgiuri'!G45</f>
        <v>0</v>
      </c>
    </row>
    <row r="10" spans="1:7" ht="28.5" customHeight="1" thickBot="1">
      <c r="A10" s="117"/>
      <c r="B10" s="118"/>
      <c r="C10" s="119" t="s">
        <v>407</v>
      </c>
      <c r="D10" s="120">
        <f>SUM(D7:D9)</f>
        <v>0</v>
      </c>
      <c r="G10" s="121"/>
    </row>
    <row r="12" spans="1:7" ht="41.25" customHeight="1">
      <c r="A12" s="122" t="s">
        <v>349</v>
      </c>
      <c r="B12" s="122"/>
      <c r="C12" s="122"/>
      <c r="D12" s="122"/>
    </row>
  </sheetData>
  <mergeCells count="3">
    <mergeCell ref="A1:D1"/>
    <mergeCell ref="A2:D2"/>
    <mergeCell ref="A12:D12"/>
  </mergeCells>
  <pageMargins left="0.25" right="0.25" top="0.75" bottom="0.75" header="0.3" footer="0.3"/>
  <pageSetup paperSize="9" orientation="portrait" verticalDpi="4294967295"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6"/>
  <sheetViews>
    <sheetView topLeftCell="A35" zoomScaleNormal="100" workbookViewId="0">
      <selection activeCell="B8" sqref="B8"/>
    </sheetView>
  </sheetViews>
  <sheetFormatPr defaultRowHeight="12.75"/>
  <cols>
    <col min="1" max="1" width="4.28515625" style="104" customWidth="1"/>
    <col min="2" max="2" width="10.28515625" style="104" customWidth="1"/>
    <col min="3" max="3" width="44.7109375" style="164" customWidth="1"/>
    <col min="4" max="4" width="8" style="104" customWidth="1"/>
    <col min="5" max="5" width="9.140625" style="104" customWidth="1"/>
    <col min="6" max="6" width="11.5703125" style="104" customWidth="1"/>
    <col min="7" max="7" width="13.140625" style="104" customWidth="1"/>
    <col min="8" max="16384" width="9.140625" style="104"/>
  </cols>
  <sheetData>
    <row r="1" spans="1:7" ht="51.75" customHeight="1">
      <c r="A1" s="123" t="s">
        <v>390</v>
      </c>
      <c r="B1" s="123"/>
      <c r="C1" s="123"/>
      <c r="D1" s="123"/>
      <c r="E1" s="123"/>
      <c r="F1" s="123"/>
      <c r="G1" s="123"/>
    </row>
    <row r="2" spans="1:7" ht="22.5" customHeight="1">
      <c r="A2" s="124" t="s">
        <v>408</v>
      </c>
      <c r="B2" s="124"/>
      <c r="C2" s="124"/>
      <c r="D2" s="124"/>
      <c r="E2" s="124"/>
      <c r="F2" s="124"/>
      <c r="G2" s="124"/>
    </row>
    <row r="3" spans="1:7" ht="24.75" customHeight="1">
      <c r="A3" s="125"/>
      <c r="B3" s="126"/>
      <c r="C3" s="125"/>
      <c r="D3" s="125"/>
      <c r="E3" s="127"/>
      <c r="F3" s="127"/>
      <c r="G3" s="127"/>
    </row>
    <row r="4" spans="1:7" ht="47.25">
      <c r="A4" s="128" t="s">
        <v>392</v>
      </c>
      <c r="B4" s="38" t="s">
        <v>409</v>
      </c>
      <c r="C4" s="38" t="s">
        <v>402</v>
      </c>
      <c r="D4" s="38" t="s">
        <v>410</v>
      </c>
      <c r="E4" s="38" t="s">
        <v>411</v>
      </c>
      <c r="F4" s="38" t="s">
        <v>412</v>
      </c>
      <c r="G4" s="129" t="s">
        <v>413</v>
      </c>
    </row>
    <row r="5" spans="1:7" ht="16.5">
      <c r="A5" s="130">
        <v>1</v>
      </c>
      <c r="B5" s="130">
        <v>2</v>
      </c>
      <c r="C5" s="131">
        <v>3</v>
      </c>
      <c r="D5" s="131">
        <v>4</v>
      </c>
      <c r="E5" s="131">
        <v>5</v>
      </c>
      <c r="F5" s="131">
        <v>6</v>
      </c>
      <c r="G5" s="131">
        <v>7</v>
      </c>
    </row>
    <row r="6" spans="1:7" ht="16.5">
      <c r="A6" s="132"/>
      <c r="B6" s="133" t="s">
        <v>323</v>
      </c>
      <c r="C6" s="134" t="s">
        <v>404</v>
      </c>
      <c r="D6" s="132"/>
      <c r="E6" s="132"/>
      <c r="F6" s="135"/>
      <c r="G6" s="135"/>
    </row>
    <row r="7" spans="1:7" ht="16.5">
      <c r="A7" s="132">
        <v>1</v>
      </c>
      <c r="B7" s="133" t="s">
        <v>324</v>
      </c>
      <c r="C7" s="134" t="s">
        <v>414</v>
      </c>
      <c r="D7" s="136" t="s">
        <v>415</v>
      </c>
      <c r="E7" s="137">
        <f>500+150+200</f>
        <v>850</v>
      </c>
      <c r="F7" s="138"/>
      <c r="G7" s="137"/>
    </row>
    <row r="8" spans="1:7" ht="16.5">
      <c r="A8" s="132">
        <v>2</v>
      </c>
      <c r="B8" s="133" t="s">
        <v>325</v>
      </c>
      <c r="C8" s="134" t="s">
        <v>416</v>
      </c>
      <c r="D8" s="136" t="s">
        <v>415</v>
      </c>
      <c r="E8" s="137">
        <f>600+200+300</f>
        <v>1100</v>
      </c>
      <c r="F8" s="138"/>
      <c r="G8" s="137"/>
    </row>
    <row r="9" spans="1:7" ht="16.5">
      <c r="A9" s="132">
        <v>3</v>
      </c>
      <c r="B9" s="133" t="s">
        <v>326</v>
      </c>
      <c r="C9" s="134" t="s">
        <v>417</v>
      </c>
      <c r="D9" s="136" t="s">
        <v>415</v>
      </c>
      <c r="E9" s="137">
        <f>900+400+400</f>
        <v>1700</v>
      </c>
      <c r="F9" s="138"/>
      <c r="G9" s="137"/>
    </row>
    <row r="10" spans="1:7" ht="16.5">
      <c r="A10" s="132">
        <v>4</v>
      </c>
      <c r="B10" s="133" t="s">
        <v>327</v>
      </c>
      <c r="C10" s="134" t="s">
        <v>418</v>
      </c>
      <c r="D10" s="136" t="s">
        <v>415</v>
      </c>
      <c r="E10" s="137">
        <f>600+200+300</f>
        <v>1100</v>
      </c>
      <c r="F10" s="138"/>
      <c r="G10" s="137"/>
    </row>
    <row r="11" spans="1:7" ht="16.5">
      <c r="A11" s="132"/>
      <c r="B11" s="130"/>
      <c r="C11" s="139" t="s">
        <v>419</v>
      </c>
      <c r="D11" s="136"/>
      <c r="E11" s="140"/>
      <c r="F11" s="141"/>
      <c r="G11" s="141">
        <f>SUM(G6:G10)</f>
        <v>0</v>
      </c>
    </row>
    <row r="12" spans="1:7" ht="16.5">
      <c r="A12" s="132"/>
      <c r="B12" s="133" t="s">
        <v>329</v>
      </c>
      <c r="C12" s="134" t="s">
        <v>405</v>
      </c>
      <c r="D12" s="136"/>
      <c r="E12" s="137"/>
      <c r="F12" s="142"/>
      <c r="G12" s="135"/>
    </row>
    <row r="13" spans="1:7" ht="16.5">
      <c r="A13" s="30">
        <v>1</v>
      </c>
      <c r="B13" s="31" t="s">
        <v>330</v>
      </c>
      <c r="C13" s="143" t="s">
        <v>420</v>
      </c>
      <c r="D13" s="144" t="s">
        <v>421</v>
      </c>
      <c r="E13" s="145">
        <f>10+10</f>
        <v>20</v>
      </c>
      <c r="F13" s="145"/>
      <c r="G13" s="145"/>
    </row>
    <row r="14" spans="1:7" ht="16.5">
      <c r="A14" s="30">
        <f>A13+1</f>
        <v>2</v>
      </c>
      <c r="B14" s="31" t="s">
        <v>422</v>
      </c>
      <c r="C14" s="143" t="s">
        <v>423</v>
      </c>
      <c r="D14" s="144" t="s">
        <v>421</v>
      </c>
      <c r="E14" s="145">
        <f>5+5</f>
        <v>10</v>
      </c>
      <c r="F14" s="145"/>
      <c r="G14" s="145"/>
    </row>
    <row r="15" spans="1:7" ht="16.5">
      <c r="A15" s="30">
        <f t="shared" ref="A15:A16" si="0">A14+1</f>
        <v>3</v>
      </c>
      <c r="B15" s="31" t="s">
        <v>424</v>
      </c>
      <c r="C15" s="146" t="s">
        <v>425</v>
      </c>
      <c r="D15" s="144" t="s">
        <v>426</v>
      </c>
      <c r="E15" s="145">
        <f>0.1+0.1</f>
        <v>0.2</v>
      </c>
      <c r="F15" s="145"/>
      <c r="G15" s="145"/>
    </row>
    <row r="16" spans="1:7" ht="16.5">
      <c r="A16" s="30">
        <f t="shared" si="0"/>
        <v>4</v>
      </c>
      <c r="B16" s="31" t="s">
        <v>427</v>
      </c>
      <c r="C16" s="146" t="s">
        <v>428</v>
      </c>
      <c r="D16" s="144" t="s">
        <v>426</v>
      </c>
      <c r="E16" s="145">
        <f>0.5+0.5</f>
        <v>1</v>
      </c>
      <c r="F16" s="145"/>
      <c r="G16" s="145"/>
    </row>
    <row r="17" spans="1:7" ht="16.5">
      <c r="A17" s="30">
        <v>1</v>
      </c>
      <c r="B17" s="31" t="s">
        <v>330</v>
      </c>
      <c r="C17" s="147" t="s">
        <v>429</v>
      </c>
      <c r="D17" s="144" t="s">
        <v>426</v>
      </c>
      <c r="E17" s="145">
        <f>8+2.3+3</f>
        <v>13.3</v>
      </c>
      <c r="F17" s="145"/>
      <c r="G17" s="145"/>
    </row>
    <row r="18" spans="1:7" ht="49.5">
      <c r="A18" s="30">
        <f>A17+1</f>
        <v>2</v>
      </c>
      <c r="B18" s="31" t="s">
        <v>422</v>
      </c>
      <c r="C18" s="143" t="s">
        <v>430</v>
      </c>
      <c r="D18" s="144" t="s">
        <v>421</v>
      </c>
      <c r="E18" s="145">
        <f>56+7+14</f>
        <v>77</v>
      </c>
      <c r="F18" s="145"/>
      <c r="G18" s="145"/>
    </row>
    <row r="19" spans="1:7" ht="21" customHeight="1">
      <c r="A19" s="30">
        <f t="shared" ref="A19:A40" si="1">A18+1</f>
        <v>3</v>
      </c>
      <c r="B19" s="31" t="s">
        <v>424</v>
      </c>
      <c r="C19" s="143" t="s">
        <v>431</v>
      </c>
      <c r="D19" s="144" t="s">
        <v>432</v>
      </c>
      <c r="E19" s="145">
        <f>40+10+10</f>
        <v>60</v>
      </c>
      <c r="F19" s="145"/>
      <c r="G19" s="145"/>
    </row>
    <row r="20" spans="1:7" ht="36" customHeight="1">
      <c r="A20" s="30">
        <f t="shared" si="1"/>
        <v>4</v>
      </c>
      <c r="B20" s="31" t="s">
        <v>427</v>
      </c>
      <c r="C20" s="143" t="s">
        <v>433</v>
      </c>
      <c r="D20" s="144" t="s">
        <v>434</v>
      </c>
      <c r="E20" s="145">
        <f>17.5+30+190+10</f>
        <v>247.5</v>
      </c>
      <c r="F20" s="145"/>
      <c r="G20" s="145"/>
    </row>
    <row r="21" spans="1:7" ht="16.5">
      <c r="A21" s="30">
        <f t="shared" si="1"/>
        <v>5</v>
      </c>
      <c r="B21" s="31" t="s">
        <v>435</v>
      </c>
      <c r="C21" s="143" t="s">
        <v>436</v>
      </c>
      <c r="D21" s="144" t="s">
        <v>437</v>
      </c>
      <c r="E21" s="145">
        <f>80+20+27.36</f>
        <v>127.36</v>
      </c>
      <c r="F21" s="145"/>
      <c r="G21" s="145"/>
    </row>
    <row r="22" spans="1:7" ht="33">
      <c r="A22" s="30">
        <f t="shared" si="1"/>
        <v>6</v>
      </c>
      <c r="B22" s="31" t="s">
        <v>438</v>
      </c>
      <c r="C22" s="143" t="s">
        <v>439</v>
      </c>
      <c r="D22" s="144" t="s">
        <v>432</v>
      </c>
      <c r="E22" s="145">
        <f>12+3+5</f>
        <v>20</v>
      </c>
      <c r="F22" s="145"/>
      <c r="G22" s="145"/>
    </row>
    <row r="23" spans="1:7" ht="16.5">
      <c r="A23" s="30">
        <f t="shared" si="1"/>
        <v>7</v>
      </c>
      <c r="B23" s="31" t="s">
        <v>440</v>
      </c>
      <c r="C23" s="143" t="s">
        <v>441</v>
      </c>
      <c r="D23" s="144" t="s">
        <v>437</v>
      </c>
      <c r="E23" s="148">
        <f>200+50+200</f>
        <v>450</v>
      </c>
      <c r="F23" s="145"/>
      <c r="G23" s="145"/>
    </row>
    <row r="24" spans="1:7" ht="16.5">
      <c r="A24" s="30">
        <f t="shared" si="1"/>
        <v>8</v>
      </c>
      <c r="B24" s="31" t="s">
        <v>442</v>
      </c>
      <c r="C24" s="143" t="s">
        <v>443</v>
      </c>
      <c r="D24" s="144" t="s">
        <v>421</v>
      </c>
      <c r="E24" s="145">
        <f>92+23+46</f>
        <v>161</v>
      </c>
      <c r="F24" s="145"/>
      <c r="G24" s="145"/>
    </row>
    <row r="25" spans="1:7" ht="16.5">
      <c r="A25" s="30">
        <f t="shared" si="1"/>
        <v>9</v>
      </c>
      <c r="B25" s="31" t="s">
        <v>444</v>
      </c>
      <c r="C25" s="143" t="s">
        <v>445</v>
      </c>
      <c r="D25" s="144" t="s">
        <v>421</v>
      </c>
      <c r="E25" s="148">
        <v>145</v>
      </c>
      <c r="F25" s="145"/>
      <c r="G25" s="145"/>
    </row>
    <row r="26" spans="1:7" ht="49.5">
      <c r="A26" s="30">
        <f>A25+1</f>
        <v>10</v>
      </c>
      <c r="B26" s="31" t="s">
        <v>446</v>
      </c>
      <c r="C26" s="143" t="s">
        <v>447</v>
      </c>
      <c r="D26" s="144" t="s">
        <v>434</v>
      </c>
      <c r="E26" s="145">
        <v>34.85</v>
      </c>
      <c r="F26" s="145"/>
      <c r="G26" s="145"/>
    </row>
    <row r="27" spans="1:7" ht="49.5">
      <c r="A27" s="30">
        <f t="shared" si="1"/>
        <v>11</v>
      </c>
      <c r="B27" s="31" t="s">
        <v>448</v>
      </c>
      <c r="C27" s="143" t="s">
        <v>449</v>
      </c>
      <c r="D27" s="144" t="s">
        <v>434</v>
      </c>
      <c r="E27" s="145">
        <v>33.5</v>
      </c>
      <c r="F27" s="145"/>
      <c r="G27" s="145"/>
    </row>
    <row r="28" spans="1:7" ht="20.25">
      <c r="A28" s="30">
        <f t="shared" si="1"/>
        <v>12</v>
      </c>
      <c r="B28" s="31" t="s">
        <v>450</v>
      </c>
      <c r="C28" s="149" t="s">
        <v>451</v>
      </c>
      <c r="D28" s="144" t="s">
        <v>434</v>
      </c>
      <c r="E28" s="150">
        <f>30+18+192</f>
        <v>240</v>
      </c>
      <c r="F28" s="151"/>
      <c r="G28" s="145"/>
    </row>
    <row r="29" spans="1:7" ht="20.25">
      <c r="A29" s="30">
        <f t="shared" si="1"/>
        <v>13</v>
      </c>
      <c r="B29" s="31" t="s">
        <v>452</v>
      </c>
      <c r="C29" s="149" t="s">
        <v>453</v>
      </c>
      <c r="D29" s="144" t="s">
        <v>434</v>
      </c>
      <c r="E29" s="150">
        <f>12+3+20</f>
        <v>35</v>
      </c>
      <c r="F29" s="151"/>
      <c r="G29" s="145"/>
    </row>
    <row r="30" spans="1:7" ht="20.25">
      <c r="A30" s="30">
        <f t="shared" si="1"/>
        <v>14</v>
      </c>
      <c r="B30" s="31" t="s">
        <v>454</v>
      </c>
      <c r="C30" s="149" t="s">
        <v>455</v>
      </c>
      <c r="D30" s="144" t="s">
        <v>434</v>
      </c>
      <c r="E30" s="150">
        <f>28+7+15</f>
        <v>50</v>
      </c>
      <c r="F30" s="151"/>
      <c r="G30" s="145"/>
    </row>
    <row r="31" spans="1:7" ht="16.5">
      <c r="A31" s="30">
        <f t="shared" si="1"/>
        <v>15</v>
      </c>
      <c r="B31" s="31" t="s">
        <v>456</v>
      </c>
      <c r="C31" s="149" t="s">
        <v>457</v>
      </c>
      <c r="D31" s="144" t="s">
        <v>437</v>
      </c>
      <c r="E31" s="150">
        <f>200+50+100</f>
        <v>350</v>
      </c>
      <c r="F31" s="151"/>
      <c r="G31" s="145"/>
    </row>
    <row r="32" spans="1:7" ht="20.25">
      <c r="A32" s="30">
        <f t="shared" si="1"/>
        <v>16</v>
      </c>
      <c r="B32" s="31" t="s">
        <v>458</v>
      </c>
      <c r="C32" s="152" t="s">
        <v>459</v>
      </c>
      <c r="D32" s="144" t="s">
        <v>434</v>
      </c>
      <c r="E32" s="148">
        <f>120+30+80</f>
        <v>230</v>
      </c>
      <c r="F32" s="145"/>
      <c r="G32" s="145"/>
    </row>
    <row r="33" spans="1:7" ht="20.25">
      <c r="A33" s="30">
        <f t="shared" si="1"/>
        <v>17</v>
      </c>
      <c r="B33" s="31" t="s">
        <v>460</v>
      </c>
      <c r="C33" s="143" t="s">
        <v>461</v>
      </c>
      <c r="D33" s="144" t="s">
        <v>434</v>
      </c>
      <c r="E33" s="148">
        <v>123</v>
      </c>
      <c r="F33" s="153"/>
      <c r="G33" s="145"/>
    </row>
    <row r="34" spans="1:7" ht="20.25">
      <c r="A34" s="30">
        <f t="shared" si="1"/>
        <v>18</v>
      </c>
      <c r="B34" s="31" t="s">
        <v>462</v>
      </c>
      <c r="C34" s="143" t="s">
        <v>463</v>
      </c>
      <c r="D34" s="144" t="s">
        <v>434</v>
      </c>
      <c r="E34" s="148">
        <v>123</v>
      </c>
      <c r="F34" s="153"/>
      <c r="G34" s="145"/>
    </row>
    <row r="35" spans="1:7" ht="20.25">
      <c r="A35" s="30">
        <f t="shared" si="1"/>
        <v>19</v>
      </c>
      <c r="B35" s="31" t="s">
        <v>464</v>
      </c>
      <c r="C35" s="143" t="s">
        <v>465</v>
      </c>
      <c r="D35" s="144" t="s">
        <v>434</v>
      </c>
      <c r="E35" s="148">
        <v>40</v>
      </c>
      <c r="F35" s="153"/>
      <c r="G35" s="145"/>
    </row>
    <row r="36" spans="1:7" ht="16.5">
      <c r="A36" s="30">
        <f t="shared" si="1"/>
        <v>20</v>
      </c>
      <c r="B36" s="31" t="s">
        <v>466</v>
      </c>
      <c r="C36" s="143" t="s">
        <v>467</v>
      </c>
      <c r="D36" s="144" t="s">
        <v>437</v>
      </c>
      <c r="E36" s="148">
        <v>40</v>
      </c>
      <c r="F36" s="153"/>
      <c r="G36" s="145"/>
    </row>
    <row r="37" spans="1:7" ht="69.75" customHeight="1">
      <c r="A37" s="30">
        <f>A32+1</f>
        <v>17</v>
      </c>
      <c r="B37" s="31" t="s">
        <v>468</v>
      </c>
      <c r="C37" s="143" t="s">
        <v>469</v>
      </c>
      <c r="D37" s="144" t="s">
        <v>434</v>
      </c>
      <c r="E37" s="148">
        <f>40+10</f>
        <v>50</v>
      </c>
      <c r="F37" s="145"/>
      <c r="G37" s="145"/>
    </row>
    <row r="38" spans="1:7" ht="17.25" customHeight="1">
      <c r="A38" s="30">
        <f>A37+1</f>
        <v>18</v>
      </c>
      <c r="B38" s="31" t="s">
        <v>470</v>
      </c>
      <c r="C38" s="154" t="s">
        <v>471</v>
      </c>
      <c r="D38" s="144" t="s">
        <v>434</v>
      </c>
      <c r="E38" s="148">
        <f>120+30+100</f>
        <v>250</v>
      </c>
      <c r="F38" s="155"/>
      <c r="G38" s="145"/>
    </row>
    <row r="39" spans="1:7" ht="17.25" customHeight="1">
      <c r="A39" s="30">
        <f t="shared" si="1"/>
        <v>19</v>
      </c>
      <c r="B39" s="31" t="s">
        <v>472</v>
      </c>
      <c r="C39" s="154" t="s">
        <v>473</v>
      </c>
      <c r="D39" s="144" t="s">
        <v>474</v>
      </c>
      <c r="E39" s="148">
        <f>560+140</f>
        <v>700</v>
      </c>
      <c r="F39" s="155"/>
      <c r="G39" s="145"/>
    </row>
    <row r="40" spans="1:7" ht="17.25" customHeight="1">
      <c r="A40" s="30">
        <f t="shared" si="1"/>
        <v>20</v>
      </c>
      <c r="B40" s="31" t="s">
        <v>475</v>
      </c>
      <c r="C40" s="154" t="s">
        <v>476</v>
      </c>
      <c r="D40" s="144" t="s">
        <v>437</v>
      </c>
      <c r="E40" s="148">
        <f>240+60</f>
        <v>300</v>
      </c>
      <c r="F40" s="155"/>
      <c r="G40" s="145"/>
    </row>
    <row r="41" spans="1:7" ht="16.5">
      <c r="A41" s="132"/>
      <c r="B41" s="156"/>
      <c r="C41" s="139" t="s">
        <v>477</v>
      </c>
      <c r="D41" s="157"/>
      <c r="E41" s="158"/>
      <c r="F41" s="141"/>
      <c r="G41" s="141">
        <f>SUM(G13:G40)</f>
        <v>0</v>
      </c>
    </row>
    <row r="42" spans="1:7" ht="16.5">
      <c r="A42" s="159"/>
      <c r="B42" s="133" t="s">
        <v>337</v>
      </c>
      <c r="C42" s="134" t="s">
        <v>406</v>
      </c>
      <c r="D42" s="132"/>
      <c r="E42" s="160"/>
      <c r="F42" s="161"/>
      <c r="G42" s="135"/>
    </row>
    <row r="43" spans="1:7" ht="49.5">
      <c r="A43" s="34">
        <v>1</v>
      </c>
      <c r="B43" s="31" t="s">
        <v>338</v>
      </c>
      <c r="C43" s="162" t="s">
        <v>478</v>
      </c>
      <c r="D43" s="30" t="s">
        <v>415</v>
      </c>
      <c r="E43" s="148">
        <f>400+200+300</f>
        <v>900</v>
      </c>
      <c r="F43" s="145"/>
      <c r="G43" s="148"/>
    </row>
    <row r="44" spans="1:7" ht="33">
      <c r="A44" s="34">
        <v>2</v>
      </c>
      <c r="B44" s="31" t="s">
        <v>479</v>
      </c>
      <c r="C44" s="162" t="s">
        <v>480</v>
      </c>
      <c r="D44" s="30" t="s">
        <v>415</v>
      </c>
      <c r="E44" s="145">
        <v>9.5</v>
      </c>
      <c r="F44" s="145"/>
      <c r="G44" s="148"/>
    </row>
    <row r="45" spans="1:7" ht="16.5">
      <c r="A45" s="132"/>
      <c r="B45" s="163"/>
      <c r="C45" s="139" t="s">
        <v>481</v>
      </c>
      <c r="D45" s="157"/>
      <c r="E45" s="158"/>
      <c r="F45" s="141"/>
      <c r="G45" s="141">
        <f>SUM(G43:G44)</f>
        <v>0</v>
      </c>
    </row>
    <row r="46" spans="1:7" ht="13.5">
      <c r="A46" s="127"/>
      <c r="B46" s="127"/>
      <c r="C46" s="125"/>
      <c r="D46" s="127"/>
      <c r="E46" s="125"/>
      <c r="F46" s="125"/>
      <c r="G46" s="125"/>
    </row>
  </sheetData>
  <mergeCells count="2">
    <mergeCell ref="A1:G1"/>
    <mergeCell ref="A2:G2"/>
  </mergeCells>
  <pageMargins left="0.25" right="0.25" top="0.75" bottom="0.75" header="0.3" footer="0.3"/>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4"/>
  <sheetViews>
    <sheetView topLeftCell="A4" zoomScaleNormal="100" workbookViewId="0">
      <selection activeCell="B8" sqref="B8"/>
    </sheetView>
  </sheetViews>
  <sheetFormatPr defaultRowHeight="12.75"/>
  <cols>
    <col min="1" max="1" width="4.140625" style="197" customWidth="1"/>
    <col min="2" max="2" width="17.85546875" style="197" customWidth="1"/>
    <col min="3" max="3" width="74.7109375" style="197" customWidth="1"/>
    <col min="4" max="4" width="23.85546875" style="197" customWidth="1"/>
    <col min="5" max="5" width="9.140625" style="197"/>
    <col min="6" max="7" width="12.140625" style="197" bestFit="1" customWidth="1"/>
    <col min="8" max="16384" width="9.140625" style="197"/>
  </cols>
  <sheetData>
    <row r="1" spans="1:7" s="166" customFormat="1" ht="42.75" customHeight="1">
      <c r="A1" s="165" t="s">
        <v>390</v>
      </c>
      <c r="B1" s="165"/>
      <c r="C1" s="165"/>
      <c r="D1" s="165"/>
    </row>
    <row r="2" spans="1:7" s="168" customFormat="1" ht="24.75" customHeight="1">
      <c r="A2" s="167" t="s">
        <v>482</v>
      </c>
      <c r="B2" s="167"/>
      <c r="C2" s="167"/>
      <c r="D2" s="167"/>
    </row>
    <row r="3" spans="1:7" s="170" customFormat="1" ht="12" customHeight="1" thickBot="1">
      <c r="A3" s="169"/>
      <c r="B3" s="169"/>
      <c r="C3" s="169"/>
      <c r="D3" s="169"/>
    </row>
    <row r="4" spans="1:7" s="175" customFormat="1" ht="37.9" customHeight="1" thickBot="1">
      <c r="A4" s="171" t="s">
        <v>483</v>
      </c>
      <c r="B4" s="172" t="s">
        <v>484</v>
      </c>
      <c r="C4" s="173" t="s">
        <v>485</v>
      </c>
      <c r="D4" s="174" t="s">
        <v>486</v>
      </c>
    </row>
    <row r="5" spans="1:7" s="179" customFormat="1" ht="18.75" customHeight="1" thickBot="1">
      <c r="A5" s="176" t="s">
        <v>5</v>
      </c>
      <c r="B5" s="177" t="s">
        <v>7</v>
      </c>
      <c r="C5" s="177" t="s">
        <v>487</v>
      </c>
      <c r="D5" s="178" t="s">
        <v>488</v>
      </c>
    </row>
    <row r="6" spans="1:7" s="179" customFormat="1" ht="24.75" customHeight="1">
      <c r="A6" s="180"/>
      <c r="B6" s="181"/>
      <c r="C6" s="182" t="s">
        <v>489</v>
      </c>
      <c r="D6" s="183"/>
    </row>
    <row r="7" spans="1:7" s="179" customFormat="1" ht="36.75" customHeight="1">
      <c r="A7" s="184">
        <v>1</v>
      </c>
      <c r="B7" s="185" t="s">
        <v>490</v>
      </c>
      <c r="C7" s="186" t="s">
        <v>491</v>
      </c>
      <c r="D7" s="187">
        <f>'ob N1'!D14</f>
        <v>0</v>
      </c>
      <c r="G7" s="188"/>
    </row>
    <row r="8" spans="1:7" s="179" customFormat="1" ht="36.75" customHeight="1">
      <c r="A8" s="184">
        <v>2</v>
      </c>
      <c r="B8" s="185" t="s">
        <v>492</v>
      </c>
      <c r="C8" s="186" t="s">
        <v>493</v>
      </c>
      <c r="D8" s="187">
        <f>ob.N2!D14</f>
        <v>0</v>
      </c>
      <c r="G8" s="188"/>
    </row>
    <row r="9" spans="1:7" s="179" customFormat="1" ht="31.5" customHeight="1">
      <c r="A9" s="184">
        <v>3</v>
      </c>
      <c r="B9" s="185" t="s">
        <v>494</v>
      </c>
      <c r="C9" s="186" t="s">
        <v>495</v>
      </c>
      <c r="D9" s="187">
        <f>ob.N3!D14</f>
        <v>0</v>
      </c>
      <c r="G9" s="188"/>
    </row>
    <row r="10" spans="1:7" s="189" customFormat="1" ht="26.25" customHeight="1">
      <c r="A10" s="184">
        <v>4</v>
      </c>
      <c r="B10" s="185" t="s">
        <v>496</v>
      </c>
      <c r="C10" s="186" t="s">
        <v>497</v>
      </c>
      <c r="D10" s="187">
        <f>ob.N4!D14</f>
        <v>0</v>
      </c>
      <c r="G10" s="188"/>
    </row>
    <row r="11" spans="1:7" s="192" customFormat="1" ht="22.5" customHeight="1">
      <c r="A11" s="190">
        <v>5</v>
      </c>
      <c r="B11" s="185" t="s">
        <v>498</v>
      </c>
      <c r="C11" s="191" t="s">
        <v>499</v>
      </c>
      <c r="D11" s="187">
        <f>ob.N5!D13</f>
        <v>0</v>
      </c>
      <c r="F11" s="193"/>
      <c r="G11" s="188"/>
    </row>
    <row r="12" spans="1:7" s="192" customFormat="1" ht="22.5" customHeight="1">
      <c r="A12" s="190">
        <v>6</v>
      </c>
      <c r="B12" s="185" t="s">
        <v>500</v>
      </c>
      <c r="C12" s="191" t="s">
        <v>501</v>
      </c>
      <c r="D12" s="187">
        <f>ob.N6!D14</f>
        <v>0</v>
      </c>
      <c r="G12" s="188"/>
    </row>
    <row r="13" spans="1:7" s="192" customFormat="1" ht="25.5" customHeight="1">
      <c r="A13" s="190">
        <v>7</v>
      </c>
      <c r="B13" s="185" t="s">
        <v>502</v>
      </c>
      <c r="C13" s="186" t="s">
        <v>503</v>
      </c>
      <c r="D13" s="187">
        <f>ob.N7!D14</f>
        <v>0</v>
      </c>
      <c r="G13" s="188"/>
    </row>
    <row r="14" spans="1:7" s="189" customFormat="1" ht="16.5" customHeight="1" thickBot="1">
      <c r="A14" s="194"/>
      <c r="B14" s="194"/>
      <c r="C14" s="195" t="s">
        <v>504</v>
      </c>
      <c r="D14" s="196">
        <f>SUM(D7:D13)</f>
        <v>0</v>
      </c>
    </row>
  </sheetData>
  <mergeCells count="3">
    <mergeCell ref="A1:D1"/>
    <mergeCell ref="A2:D2"/>
    <mergeCell ref="A3:D3"/>
  </mergeCells>
  <pageMargins left="0.75" right="0.25" top="0.75" bottom="0.75" header="0.3" footer="0.3"/>
  <pageSetup paperSize="9" orientation="landscape" verticalDpi="4294967293"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O17"/>
  <sheetViews>
    <sheetView zoomScaleNormal="100" workbookViewId="0">
      <selection activeCell="B8" sqref="B8"/>
    </sheetView>
  </sheetViews>
  <sheetFormatPr defaultRowHeight="12.75"/>
  <cols>
    <col min="1" max="1" width="7.7109375" style="104" customWidth="1"/>
    <col min="2" max="2" width="10.7109375" style="104" customWidth="1"/>
    <col min="3" max="3" width="45.7109375" style="104" customWidth="1"/>
    <col min="4" max="4" width="21" style="104" customWidth="1"/>
    <col min="5" max="16384" width="9.140625" style="104"/>
  </cols>
  <sheetData>
    <row r="1" spans="1:4" s="199" customFormat="1" ht="51.75" customHeight="1">
      <c r="A1" s="198" t="str">
        <f>sv!A1</f>
        <v>yazbegis, aragvis, fSav-xevsureTisa da TuSeTis dacul teritoriebze arsebuli 7 qoxis saxarjTaRricxvo dokumentacia.</v>
      </c>
      <c r="B1" s="198"/>
      <c r="C1" s="198"/>
      <c r="D1" s="198"/>
    </row>
    <row r="2" spans="1:4" s="201" customFormat="1" ht="24" customHeight="1">
      <c r="A2" s="200" t="s">
        <v>491</v>
      </c>
      <c r="B2" s="200"/>
      <c r="C2" s="200"/>
      <c r="D2" s="200"/>
    </row>
    <row r="3" spans="1:4" s="201" customFormat="1" ht="23.25" customHeight="1" thickBot="1">
      <c r="A3" s="202" t="s">
        <v>505</v>
      </c>
      <c r="B3" s="202"/>
      <c r="C3" s="202"/>
      <c r="D3" s="202"/>
    </row>
    <row r="4" spans="1:4" s="201" customFormat="1" ht="108" customHeight="1" thickBot="1">
      <c r="A4" s="203" t="s">
        <v>506</v>
      </c>
      <c r="B4" s="204" t="s">
        <v>392</v>
      </c>
      <c r="C4" s="205" t="s">
        <v>507</v>
      </c>
      <c r="D4" s="205" t="s">
        <v>508</v>
      </c>
    </row>
    <row r="5" spans="1:4" s="201" customFormat="1" ht="20.25" customHeight="1" thickBot="1">
      <c r="A5" s="206">
        <v>1</v>
      </c>
      <c r="B5" s="207">
        <v>2</v>
      </c>
      <c r="C5" s="206">
        <v>3</v>
      </c>
      <c r="D5" s="206">
        <v>4</v>
      </c>
    </row>
    <row r="6" spans="1:4" s="201" customFormat="1" ht="22.5" customHeight="1">
      <c r="A6" s="208">
        <v>1</v>
      </c>
      <c r="B6" s="209" t="s">
        <v>19</v>
      </c>
      <c r="C6" s="210" t="s">
        <v>509</v>
      </c>
      <c r="D6" s="211">
        <f>' N1-1'!F118</f>
        <v>0</v>
      </c>
    </row>
    <row r="7" spans="1:4" s="216" customFormat="1" ht="39.75" customHeight="1">
      <c r="A7" s="212" t="s">
        <v>7</v>
      </c>
      <c r="B7" s="213" t="s">
        <v>20</v>
      </c>
      <c r="C7" s="214" t="s">
        <v>510</v>
      </c>
      <c r="D7" s="215">
        <f>'N1-2'!F17</f>
        <v>0</v>
      </c>
    </row>
    <row r="8" spans="1:4" s="201" customFormat="1" ht="22.5" customHeight="1">
      <c r="A8" s="217">
        <v>3</v>
      </c>
      <c r="B8" s="213" t="s">
        <v>21</v>
      </c>
      <c r="C8" s="218" t="s">
        <v>511</v>
      </c>
      <c r="D8" s="215">
        <f>'N1-3'!F16</f>
        <v>0</v>
      </c>
    </row>
    <row r="9" spans="1:4" s="201" customFormat="1" ht="22.5" customHeight="1">
      <c r="A9" s="212" t="s">
        <v>488</v>
      </c>
      <c r="B9" s="213" t="s">
        <v>22</v>
      </c>
      <c r="C9" s="218" t="s">
        <v>512</v>
      </c>
      <c r="D9" s="215">
        <f>'N1-4 '!F25</f>
        <v>0</v>
      </c>
    </row>
    <row r="10" spans="1:4" s="201" customFormat="1" ht="22.5" customHeight="1">
      <c r="A10" s="212" t="s">
        <v>513</v>
      </c>
      <c r="B10" s="213" t="s">
        <v>30</v>
      </c>
      <c r="C10" s="218" t="s">
        <v>514</v>
      </c>
      <c r="D10" s="215">
        <f>'N1-5'!F113</f>
        <v>0</v>
      </c>
    </row>
    <row r="11" spans="1:4" s="201" customFormat="1" ht="22.5" customHeight="1">
      <c r="A11" s="212" t="s">
        <v>515</v>
      </c>
      <c r="B11" s="213" t="s">
        <v>23</v>
      </c>
      <c r="C11" s="218" t="s">
        <v>516</v>
      </c>
      <c r="D11" s="215">
        <f>'N1-6'!F27</f>
        <v>0</v>
      </c>
    </row>
    <row r="12" spans="1:4" s="201" customFormat="1" ht="39" customHeight="1">
      <c r="A12" s="217">
        <v>7</v>
      </c>
      <c r="B12" s="213" t="s">
        <v>24</v>
      </c>
      <c r="C12" s="219" t="s">
        <v>517</v>
      </c>
      <c r="D12" s="215">
        <f>'N1-7'!F21</f>
        <v>0</v>
      </c>
    </row>
    <row r="13" spans="1:4" s="201" customFormat="1" ht="33.75" customHeight="1">
      <c r="A13" s="217">
        <v>8</v>
      </c>
      <c r="B13" s="213" t="s">
        <v>31</v>
      </c>
      <c r="C13" s="219" t="s">
        <v>518</v>
      </c>
      <c r="D13" s="215">
        <f>'N1-8'!F19</f>
        <v>0</v>
      </c>
    </row>
    <row r="14" spans="1:4" s="201" customFormat="1" ht="22.5" customHeight="1" thickBot="1">
      <c r="A14" s="220"/>
      <c r="B14" s="221"/>
      <c r="C14" s="222" t="s">
        <v>519</v>
      </c>
      <c r="D14" s="223">
        <f>SUM(D6:D13)</f>
        <v>0</v>
      </c>
    </row>
    <row r="15" spans="1:4" s="225" customFormat="1" ht="13.5">
      <c r="A15" s="224"/>
    </row>
    <row r="16" spans="1:4" s="226" customFormat="1" ht="18" customHeight="1">
      <c r="D16" s="227"/>
    </row>
    <row r="17" spans="1:119" s="229" customFormat="1" ht="15">
      <c r="A17" s="228"/>
      <c r="B17" s="228"/>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30"/>
      <c r="AP17" s="230"/>
      <c r="AQ17" s="230"/>
      <c r="AR17" s="230"/>
      <c r="AS17" s="230"/>
      <c r="AT17" s="230"/>
      <c r="AU17" s="230"/>
      <c r="AV17" s="230"/>
      <c r="AW17" s="230"/>
      <c r="AX17" s="230"/>
      <c r="AY17" s="230"/>
      <c r="AZ17" s="230"/>
      <c r="BA17" s="230"/>
      <c r="BB17" s="230"/>
      <c r="BC17" s="230"/>
      <c r="BD17" s="230"/>
      <c r="BE17" s="230"/>
      <c r="BF17" s="230"/>
      <c r="BG17" s="230"/>
      <c r="BH17" s="230"/>
      <c r="BI17" s="230"/>
      <c r="BJ17" s="230"/>
      <c r="BK17" s="230"/>
      <c r="BL17" s="230"/>
      <c r="BM17" s="230"/>
      <c r="BN17" s="230"/>
      <c r="BO17" s="230"/>
      <c r="BP17" s="230"/>
      <c r="BQ17" s="230"/>
      <c r="BR17" s="230"/>
      <c r="BS17" s="230"/>
      <c r="BT17" s="230"/>
      <c r="BU17" s="230"/>
      <c r="BV17" s="230"/>
      <c r="BW17" s="230"/>
      <c r="BX17" s="230"/>
      <c r="BY17" s="230"/>
      <c r="BZ17" s="230"/>
      <c r="CA17" s="230"/>
      <c r="CB17" s="230"/>
      <c r="CC17" s="230"/>
      <c r="CD17" s="230"/>
      <c r="CE17" s="230"/>
      <c r="CF17" s="230"/>
      <c r="CG17" s="230"/>
      <c r="CH17" s="230"/>
      <c r="CI17" s="230"/>
      <c r="CJ17" s="230"/>
      <c r="CK17" s="230"/>
      <c r="CL17" s="230"/>
      <c r="CM17" s="230"/>
      <c r="CN17" s="230"/>
      <c r="CO17" s="230"/>
      <c r="CP17" s="230"/>
      <c r="CQ17" s="230"/>
      <c r="CR17" s="230"/>
      <c r="CS17" s="230"/>
      <c r="CT17" s="230"/>
      <c r="CU17" s="230"/>
      <c r="CV17" s="230"/>
      <c r="CW17" s="230"/>
      <c r="CX17" s="230"/>
      <c r="CY17" s="230"/>
      <c r="CZ17" s="230"/>
      <c r="DA17" s="230"/>
      <c r="DB17" s="230"/>
      <c r="DC17" s="230"/>
      <c r="DD17" s="230"/>
      <c r="DE17" s="230"/>
      <c r="DF17" s="230"/>
      <c r="DG17" s="230"/>
      <c r="DH17" s="230"/>
      <c r="DI17" s="230"/>
      <c r="DJ17" s="230"/>
      <c r="DK17" s="230"/>
      <c r="DL17" s="230"/>
      <c r="DM17" s="230"/>
      <c r="DN17" s="230"/>
      <c r="DO17" s="230"/>
    </row>
  </sheetData>
  <mergeCells count="3">
    <mergeCell ref="A1:D1"/>
    <mergeCell ref="A2:D2"/>
    <mergeCell ref="A3:D3"/>
  </mergeCells>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21"/>
  <sheetViews>
    <sheetView topLeftCell="A112" zoomScale="110" zoomScaleNormal="110" workbookViewId="0">
      <selection activeCell="I120" sqref="I120"/>
    </sheetView>
  </sheetViews>
  <sheetFormatPr defaultColWidth="9" defaultRowHeight="15.75"/>
  <cols>
    <col min="1" max="1" width="6.7109375" style="326" customWidth="1"/>
    <col min="2" max="2" width="48.85546875" style="243" customWidth="1"/>
    <col min="3" max="3" width="9.42578125" style="328" customWidth="1"/>
    <col min="4" max="4" width="9.140625" style="329" customWidth="1"/>
    <col min="5" max="5" width="9.7109375" style="328" bestFit="1" customWidth="1"/>
    <col min="6" max="6" width="10.85546875" style="328" customWidth="1"/>
    <col min="7" max="8" width="9" style="243"/>
    <col min="9" max="9" width="11.5703125" style="243" customWidth="1"/>
    <col min="10" max="16384" width="9" style="243"/>
  </cols>
  <sheetData>
    <row r="1" spans="1:6" s="232" customFormat="1" ht="30" customHeight="1">
      <c r="A1" s="231" t="str">
        <f>'ob N1'!A1:D1</f>
        <v>yazbegis, aragvis, fSav-xevsureTisa da TuSeTis dacul teritoriebze arsebuli 7 qoxis saxarjTaRricxvo dokumentacia.</v>
      </c>
      <c r="B1" s="231"/>
      <c r="C1" s="231"/>
      <c r="D1" s="231"/>
      <c r="E1" s="231"/>
      <c r="F1" s="231"/>
    </row>
    <row r="2" spans="1:6" s="234" customFormat="1" ht="28.5" customHeight="1">
      <c r="A2" s="233" t="s">
        <v>520</v>
      </c>
      <c r="B2" s="233"/>
      <c r="C2" s="233"/>
      <c r="D2" s="233"/>
      <c r="E2" s="233"/>
      <c r="F2" s="233"/>
    </row>
    <row r="3" spans="1:6" s="234" customFormat="1" ht="17.25" customHeight="1">
      <c r="A3" s="235"/>
      <c r="B3" s="233" t="s">
        <v>521</v>
      </c>
      <c r="C3" s="233"/>
      <c r="D3" s="233"/>
      <c r="E3" s="233"/>
      <c r="F3" s="233"/>
    </row>
    <row r="4" spans="1:6" s="237" customFormat="1" ht="18" customHeight="1" thickBot="1">
      <c r="A4" s="236" t="s">
        <v>522</v>
      </c>
      <c r="B4" s="236"/>
      <c r="C4" s="236"/>
      <c r="D4" s="236"/>
      <c r="E4" s="236"/>
      <c r="F4" s="236"/>
    </row>
    <row r="5" spans="1:6" ht="39.75" customHeight="1">
      <c r="A5" s="238" t="s">
        <v>523</v>
      </c>
      <c r="B5" s="239" t="s">
        <v>524</v>
      </c>
      <c r="C5" s="240" t="s">
        <v>525</v>
      </c>
      <c r="D5" s="241" t="s">
        <v>411</v>
      </c>
      <c r="E5" s="240" t="s">
        <v>526</v>
      </c>
      <c r="F5" s="242" t="s">
        <v>527</v>
      </c>
    </row>
    <row r="6" spans="1:6" ht="48.6" customHeight="1" thickBot="1">
      <c r="A6" s="244"/>
      <c r="B6" s="245"/>
      <c r="C6" s="246"/>
      <c r="D6" s="247"/>
      <c r="E6" s="246"/>
      <c r="F6" s="248"/>
    </row>
    <row r="7" spans="1:6" s="252" customFormat="1" ht="22.15" customHeight="1">
      <c r="A7" s="249" t="s">
        <v>5</v>
      </c>
      <c r="B7" s="250">
        <v>2</v>
      </c>
      <c r="C7" s="251">
        <v>3</v>
      </c>
      <c r="D7" s="251">
        <v>4</v>
      </c>
      <c r="E7" s="251">
        <v>5</v>
      </c>
      <c r="F7" s="251">
        <v>6</v>
      </c>
    </row>
    <row r="8" spans="1:6" s="256" customFormat="1" ht="15.75" customHeight="1">
      <c r="A8" s="253"/>
      <c r="B8" s="254" t="s">
        <v>528</v>
      </c>
      <c r="C8" s="253"/>
      <c r="D8" s="253"/>
      <c r="E8" s="253"/>
      <c r="F8" s="255"/>
    </row>
    <row r="9" spans="1:6" s="260" customFormat="1" ht="21" customHeight="1">
      <c r="A9" s="257">
        <v>1</v>
      </c>
      <c r="B9" s="258" t="s">
        <v>529</v>
      </c>
      <c r="C9" s="259" t="s">
        <v>530</v>
      </c>
      <c r="D9" s="259">
        <v>122</v>
      </c>
      <c r="E9" s="259"/>
      <c r="F9" s="259"/>
    </row>
    <row r="10" spans="1:6" s="261" customFormat="1" ht="47.25">
      <c r="A10" s="257">
        <v>2</v>
      </c>
      <c r="B10" s="258" t="s">
        <v>531</v>
      </c>
      <c r="C10" s="259" t="s">
        <v>530</v>
      </c>
      <c r="D10" s="259">
        <v>57</v>
      </c>
      <c r="E10" s="259"/>
      <c r="F10" s="259"/>
    </row>
    <row r="11" spans="1:6" s="264" customFormat="1">
      <c r="A11" s="262">
        <v>3</v>
      </c>
      <c r="B11" s="258" t="s">
        <v>532</v>
      </c>
      <c r="C11" s="263" t="s">
        <v>530</v>
      </c>
      <c r="D11" s="263">
        <v>65</v>
      </c>
      <c r="E11" s="263"/>
      <c r="F11" s="259"/>
    </row>
    <row r="12" spans="1:6" s="256" customFormat="1" ht="15.75" customHeight="1">
      <c r="A12" s="265"/>
      <c r="B12" s="254" t="s">
        <v>533</v>
      </c>
      <c r="C12" s="253"/>
      <c r="D12" s="253"/>
      <c r="E12" s="253"/>
      <c r="F12" s="259"/>
    </row>
    <row r="13" spans="1:6" s="260" customFormat="1" ht="38.25" customHeight="1">
      <c r="A13" s="257">
        <v>1</v>
      </c>
      <c r="B13" s="258" t="s">
        <v>534</v>
      </c>
      <c r="C13" s="259" t="s">
        <v>530</v>
      </c>
      <c r="D13" s="259">
        <f>(1.4+1.3)*3</f>
        <v>8.1000000000000014</v>
      </c>
      <c r="E13" s="266"/>
      <c r="F13" s="259"/>
    </row>
    <row r="14" spans="1:6" s="269" customFormat="1">
      <c r="A14" s="267" t="s">
        <v>535</v>
      </c>
      <c r="B14" s="146" t="s">
        <v>536</v>
      </c>
      <c r="C14" s="268" t="s">
        <v>537</v>
      </c>
      <c r="D14" s="268">
        <f>(39.78+51.14)*3/1000</f>
        <v>0.27276</v>
      </c>
      <c r="E14" s="268"/>
      <c r="F14" s="259"/>
    </row>
    <row r="15" spans="1:6" s="269" customFormat="1">
      <c r="A15" s="267" t="s">
        <v>538</v>
      </c>
      <c r="B15" s="146" t="s">
        <v>539</v>
      </c>
      <c r="C15" s="268" t="s">
        <v>537</v>
      </c>
      <c r="D15" s="268">
        <f>(54.3+68.73+49.25+62.33)*3/1000</f>
        <v>0.70383000000000007</v>
      </c>
      <c r="E15" s="268"/>
      <c r="F15" s="259"/>
    </row>
    <row r="16" spans="1:6" s="269" customFormat="1">
      <c r="A16" s="267" t="s">
        <v>540</v>
      </c>
      <c r="B16" s="146" t="s">
        <v>541</v>
      </c>
      <c r="C16" s="268" t="s">
        <v>474</v>
      </c>
      <c r="D16" s="268">
        <v>24</v>
      </c>
      <c r="E16" s="268"/>
      <c r="F16" s="259"/>
    </row>
    <row r="17" spans="1:6" s="269" customFormat="1">
      <c r="A17" s="267" t="s">
        <v>542</v>
      </c>
      <c r="B17" s="146" t="s">
        <v>543</v>
      </c>
      <c r="C17" s="268" t="s">
        <v>474</v>
      </c>
      <c r="D17" s="268">
        <v>24</v>
      </c>
      <c r="E17" s="268"/>
      <c r="F17" s="259"/>
    </row>
    <row r="18" spans="1:6" s="261" customFormat="1" ht="31.5">
      <c r="A18" s="257">
        <v>2</v>
      </c>
      <c r="B18" s="258" t="s">
        <v>544</v>
      </c>
      <c r="C18" s="259" t="s">
        <v>530</v>
      </c>
      <c r="D18" s="259">
        <f>0.4*9</f>
        <v>3.6</v>
      </c>
      <c r="E18" s="266"/>
      <c r="F18" s="259"/>
    </row>
    <row r="19" spans="1:6" s="269" customFormat="1">
      <c r="A19" s="267" t="s">
        <v>545</v>
      </c>
      <c r="B19" s="146" t="s">
        <v>539</v>
      </c>
      <c r="C19" s="268" t="s">
        <v>537</v>
      </c>
      <c r="D19" s="268">
        <f>28.41*9/1000</f>
        <v>0.25568999999999997</v>
      </c>
      <c r="E19" s="268"/>
      <c r="F19" s="259"/>
    </row>
    <row r="20" spans="1:6" s="269" customFormat="1">
      <c r="A20" s="267" t="s">
        <v>546</v>
      </c>
      <c r="B20" s="146" t="s">
        <v>536</v>
      </c>
      <c r="C20" s="268" t="s">
        <v>537</v>
      </c>
      <c r="D20" s="268">
        <f>(16.1+14.68+14.21)*3/1000</f>
        <v>0.13497000000000001</v>
      </c>
      <c r="E20" s="268"/>
      <c r="F20" s="259"/>
    </row>
    <row r="21" spans="1:6" s="269" customFormat="1">
      <c r="A21" s="267" t="s">
        <v>547</v>
      </c>
      <c r="B21" s="146" t="s">
        <v>541</v>
      </c>
      <c r="C21" s="268" t="s">
        <v>474</v>
      </c>
      <c r="D21" s="268">
        <v>36</v>
      </c>
      <c r="E21" s="268"/>
      <c r="F21" s="259"/>
    </row>
    <row r="22" spans="1:6" s="271" customFormat="1">
      <c r="A22" s="267">
        <v>3</v>
      </c>
      <c r="B22" s="147" t="s">
        <v>548</v>
      </c>
      <c r="C22" s="268" t="s">
        <v>530</v>
      </c>
      <c r="D22" s="268">
        <v>2.8</v>
      </c>
      <c r="E22" s="270"/>
      <c r="F22" s="259"/>
    </row>
    <row r="23" spans="1:6" s="260" customFormat="1" ht="31.5">
      <c r="A23" s="272">
        <v>4</v>
      </c>
      <c r="B23" s="258" t="s">
        <v>549</v>
      </c>
      <c r="C23" s="273" t="s">
        <v>530</v>
      </c>
      <c r="D23" s="259">
        <v>28.9</v>
      </c>
      <c r="E23" s="266"/>
      <c r="F23" s="259"/>
    </row>
    <row r="24" spans="1:6" s="269" customFormat="1">
      <c r="A24" s="267" t="s">
        <v>550</v>
      </c>
      <c r="B24" s="146" t="s">
        <v>536</v>
      </c>
      <c r="C24" s="268" t="s">
        <v>537</v>
      </c>
      <c r="D24" s="268">
        <v>4.5780000000000001E-2</v>
      </c>
      <c r="E24" s="268"/>
      <c r="F24" s="259"/>
    </row>
    <row r="25" spans="1:6" s="269" customFormat="1">
      <c r="A25" s="267" t="s">
        <v>551</v>
      </c>
      <c r="B25" s="146" t="s">
        <v>552</v>
      </c>
      <c r="C25" s="268" t="s">
        <v>537</v>
      </c>
      <c r="D25" s="268">
        <v>1.61795</v>
      </c>
      <c r="E25" s="268"/>
      <c r="F25" s="259"/>
    </row>
    <row r="26" spans="1:6" s="260" customFormat="1" ht="31.5">
      <c r="A26" s="257">
        <v>5</v>
      </c>
      <c r="B26" s="258" t="s">
        <v>553</v>
      </c>
      <c r="C26" s="259" t="s">
        <v>554</v>
      </c>
      <c r="D26" s="259">
        <v>53</v>
      </c>
      <c r="E26" s="266"/>
      <c r="F26" s="259"/>
    </row>
    <row r="27" spans="1:6" s="260" customFormat="1" ht="47.25">
      <c r="A27" s="257">
        <v>6</v>
      </c>
      <c r="B27" s="258" t="s">
        <v>555</v>
      </c>
      <c r="C27" s="259" t="s">
        <v>530</v>
      </c>
      <c r="D27" s="259">
        <f>(0.5+0.8+1.3)*3+1.2*6</f>
        <v>15</v>
      </c>
      <c r="E27" s="259"/>
      <c r="F27" s="259"/>
    </row>
    <row r="28" spans="1:6" s="269" customFormat="1">
      <c r="A28" s="267" t="s">
        <v>556</v>
      </c>
      <c r="B28" s="146" t="s">
        <v>536</v>
      </c>
      <c r="C28" s="268" t="s">
        <v>537</v>
      </c>
      <c r="D28" s="268">
        <f>(34.81+12.71+22.1)*3/1000+0.03094*6</f>
        <v>0.39450000000000002</v>
      </c>
      <c r="E28" s="268"/>
      <c r="F28" s="259"/>
    </row>
    <row r="29" spans="1:6" s="269" customFormat="1">
      <c r="A29" s="267" t="s">
        <v>557</v>
      </c>
      <c r="B29" s="146" t="s">
        <v>539</v>
      </c>
      <c r="C29" s="268" t="s">
        <v>537</v>
      </c>
      <c r="D29" s="268">
        <f>(80.51+31.26+50.67)*3/1000+0.07293*6</f>
        <v>0.92489999999999994</v>
      </c>
      <c r="E29" s="268"/>
      <c r="F29" s="259"/>
    </row>
    <row r="30" spans="1:6" s="269" customFormat="1">
      <c r="A30" s="267" t="s">
        <v>558</v>
      </c>
      <c r="B30" s="146" t="s">
        <v>559</v>
      </c>
      <c r="C30" s="268" t="s">
        <v>474</v>
      </c>
      <c r="D30" s="268">
        <f>3*18+36</f>
        <v>90</v>
      </c>
      <c r="E30" s="268"/>
      <c r="F30" s="259"/>
    </row>
    <row r="31" spans="1:6" s="260" customFormat="1" ht="31.5">
      <c r="A31" s="272">
        <v>7</v>
      </c>
      <c r="B31" s="258" t="s">
        <v>560</v>
      </c>
      <c r="C31" s="259" t="s">
        <v>530</v>
      </c>
      <c r="D31" s="259">
        <v>10.6</v>
      </c>
      <c r="E31" s="266"/>
      <c r="F31" s="259"/>
    </row>
    <row r="32" spans="1:6" s="269" customFormat="1">
      <c r="A32" s="267" t="s">
        <v>561</v>
      </c>
      <c r="B32" s="146" t="s">
        <v>536</v>
      </c>
      <c r="C32" s="268" t="s">
        <v>537</v>
      </c>
      <c r="D32" s="268">
        <v>2.298E-2</v>
      </c>
      <c r="E32" s="268"/>
      <c r="F32" s="259"/>
    </row>
    <row r="33" spans="1:6" s="269" customFormat="1">
      <c r="A33" s="267" t="s">
        <v>562</v>
      </c>
      <c r="B33" s="146" t="s">
        <v>552</v>
      </c>
      <c r="C33" s="268" t="s">
        <v>537</v>
      </c>
      <c r="D33" s="268">
        <v>0.80005999999999999</v>
      </c>
      <c r="E33" s="268"/>
      <c r="F33" s="259"/>
    </row>
    <row r="34" spans="1:6" s="260" customFormat="1" ht="31.5">
      <c r="A34" s="272">
        <v>8</v>
      </c>
      <c r="B34" s="258" t="s">
        <v>563</v>
      </c>
      <c r="C34" s="259" t="s">
        <v>530</v>
      </c>
      <c r="D34" s="259">
        <v>10.6</v>
      </c>
      <c r="E34" s="266"/>
      <c r="F34" s="259"/>
    </row>
    <row r="35" spans="1:6" s="269" customFormat="1">
      <c r="A35" s="267" t="s">
        <v>564</v>
      </c>
      <c r="B35" s="146" t="s">
        <v>536</v>
      </c>
      <c r="C35" s="268" t="s">
        <v>537</v>
      </c>
      <c r="D35" s="268">
        <v>2.298E-2</v>
      </c>
      <c r="E35" s="268"/>
      <c r="F35" s="259"/>
    </row>
    <row r="36" spans="1:6" s="269" customFormat="1">
      <c r="A36" s="267" t="s">
        <v>565</v>
      </c>
      <c r="B36" s="146" t="s">
        <v>552</v>
      </c>
      <c r="C36" s="268" t="s">
        <v>537</v>
      </c>
      <c r="D36" s="268">
        <v>0.7823</v>
      </c>
      <c r="E36" s="268"/>
      <c r="F36" s="259"/>
    </row>
    <row r="37" spans="1:6" s="261" customFormat="1" ht="31.5">
      <c r="A37" s="257">
        <v>9</v>
      </c>
      <c r="B37" s="258" t="s">
        <v>566</v>
      </c>
      <c r="C37" s="259" t="s">
        <v>537</v>
      </c>
      <c r="D37" s="259">
        <v>6.39</v>
      </c>
      <c r="E37" s="266"/>
      <c r="F37" s="259"/>
    </row>
    <row r="38" spans="1:6" s="261" customFormat="1" ht="31.5">
      <c r="A38" s="257">
        <v>10</v>
      </c>
      <c r="B38" s="258" t="s">
        <v>567</v>
      </c>
      <c r="C38" s="259" t="s">
        <v>537</v>
      </c>
      <c r="D38" s="259">
        <f>0.00864*142+5.796</f>
        <v>7.0228800000000007</v>
      </c>
      <c r="E38" s="266"/>
      <c r="F38" s="259"/>
    </row>
    <row r="39" spans="1:6" s="260" customFormat="1" ht="37.5" customHeight="1">
      <c r="A39" s="272">
        <v>11</v>
      </c>
      <c r="B39" s="258" t="s">
        <v>568</v>
      </c>
      <c r="C39" s="259" t="s">
        <v>537</v>
      </c>
      <c r="D39" s="259">
        <v>0.66457999999999995</v>
      </c>
      <c r="E39" s="266"/>
      <c r="F39" s="259"/>
    </row>
    <row r="40" spans="1:6" s="275" customFormat="1" ht="31.5">
      <c r="A40" s="262">
        <v>12</v>
      </c>
      <c r="B40" s="258" t="s">
        <v>569</v>
      </c>
      <c r="C40" s="263" t="s">
        <v>537</v>
      </c>
      <c r="D40" s="263">
        <f>D38+D39</f>
        <v>7.6874600000000006</v>
      </c>
      <c r="E40" s="274"/>
      <c r="F40" s="259"/>
    </row>
    <row r="41" spans="1:6" s="275" customFormat="1" ht="16.5">
      <c r="A41" s="262">
        <v>13</v>
      </c>
      <c r="B41" s="258" t="s">
        <v>570</v>
      </c>
      <c r="C41" s="263" t="s">
        <v>554</v>
      </c>
      <c r="D41" s="263">
        <f>94*0.32+276*0.704</f>
        <v>224.38400000000001</v>
      </c>
      <c r="E41" s="274"/>
      <c r="F41" s="259"/>
    </row>
    <row r="42" spans="1:6" s="275" customFormat="1" ht="31.5">
      <c r="A42" s="276">
        <v>14</v>
      </c>
      <c r="B42" s="258" t="s">
        <v>571</v>
      </c>
      <c r="C42" s="263" t="s">
        <v>537</v>
      </c>
      <c r="D42" s="263">
        <f>D40</f>
        <v>7.6874600000000006</v>
      </c>
      <c r="E42" s="274"/>
      <c r="F42" s="259"/>
    </row>
    <row r="43" spans="1:6" s="277" customFormat="1" ht="33.75" customHeight="1">
      <c r="A43" s="257">
        <v>15</v>
      </c>
      <c r="B43" s="258" t="s">
        <v>572</v>
      </c>
      <c r="C43" s="259" t="s">
        <v>530</v>
      </c>
      <c r="D43" s="259">
        <v>6.4</v>
      </c>
      <c r="E43" s="266"/>
      <c r="F43" s="259"/>
    </row>
    <row r="44" spans="1:6" s="277" customFormat="1" ht="38.25" customHeight="1">
      <c r="A44" s="257">
        <v>16</v>
      </c>
      <c r="B44" s="258" t="s">
        <v>573</v>
      </c>
      <c r="C44" s="259" t="s">
        <v>530</v>
      </c>
      <c r="D44" s="278">
        <f>10.44+2.6+5.8</f>
        <v>18.84</v>
      </c>
      <c r="E44" s="266"/>
      <c r="F44" s="259"/>
    </row>
    <row r="45" spans="1:6" s="277" customFormat="1" ht="39.75" customHeight="1">
      <c r="A45" s="257">
        <v>17</v>
      </c>
      <c r="B45" s="258" t="s">
        <v>574</v>
      </c>
      <c r="C45" s="259" t="s">
        <v>530</v>
      </c>
      <c r="D45" s="278">
        <v>23.6</v>
      </c>
      <c r="E45" s="266"/>
      <c r="F45" s="259"/>
    </row>
    <row r="46" spans="1:6" s="269" customFormat="1">
      <c r="A46" s="267">
        <v>18</v>
      </c>
      <c r="B46" s="147" t="s">
        <v>575</v>
      </c>
      <c r="C46" s="268" t="s">
        <v>530</v>
      </c>
      <c r="D46" s="268">
        <f>D44+D45+D43</f>
        <v>48.839999999999996</v>
      </c>
      <c r="E46" s="270"/>
      <c r="F46" s="259"/>
    </row>
    <row r="47" spans="1:6" s="277" customFormat="1" ht="30" customHeight="1">
      <c r="A47" s="279">
        <v>19</v>
      </c>
      <c r="B47" s="258" t="s">
        <v>576</v>
      </c>
      <c r="C47" s="259" t="s">
        <v>537</v>
      </c>
      <c r="D47" s="259">
        <v>6.4431099999999999</v>
      </c>
      <c r="E47" s="266"/>
      <c r="F47" s="259"/>
    </row>
    <row r="48" spans="1:6" s="277" customFormat="1" ht="15.75" customHeight="1">
      <c r="A48" s="279" t="s">
        <v>577</v>
      </c>
      <c r="B48" s="280" t="s">
        <v>578</v>
      </c>
      <c r="C48" s="281" t="s">
        <v>474</v>
      </c>
      <c r="D48" s="268">
        <v>240</v>
      </c>
      <c r="E48" s="266"/>
      <c r="F48" s="259"/>
    </row>
    <row r="49" spans="1:6" s="277" customFormat="1" ht="15.75" customHeight="1">
      <c r="A49" s="279" t="s">
        <v>579</v>
      </c>
      <c r="B49" s="280" t="s">
        <v>580</v>
      </c>
      <c r="C49" s="281" t="s">
        <v>474</v>
      </c>
      <c r="D49" s="268">
        <v>480</v>
      </c>
      <c r="E49" s="266"/>
      <c r="F49" s="259"/>
    </row>
    <row r="50" spans="1:6" s="256" customFormat="1" ht="15.75" customHeight="1">
      <c r="A50" s="265"/>
      <c r="B50" s="254" t="s">
        <v>581</v>
      </c>
      <c r="C50" s="253"/>
      <c r="D50" s="253"/>
      <c r="E50" s="253"/>
      <c r="F50" s="259"/>
    </row>
    <row r="51" spans="1:6" s="277" customFormat="1" ht="34.5" customHeight="1">
      <c r="A51" s="279">
        <v>1</v>
      </c>
      <c r="B51" s="258" t="s">
        <v>582</v>
      </c>
      <c r="C51" s="259" t="s">
        <v>530</v>
      </c>
      <c r="D51" s="259">
        <v>3.14</v>
      </c>
      <c r="E51" s="266"/>
      <c r="F51" s="259"/>
    </row>
    <row r="52" spans="1:6" s="282" customFormat="1" ht="52.5" customHeight="1">
      <c r="A52" s="262">
        <v>2</v>
      </c>
      <c r="B52" s="258" t="s">
        <v>583</v>
      </c>
      <c r="C52" s="263" t="s">
        <v>554</v>
      </c>
      <c r="D52" s="263">
        <v>193.7</v>
      </c>
      <c r="E52" s="274"/>
      <c r="F52" s="259"/>
    </row>
    <row r="53" spans="1:6" s="282" customFormat="1" ht="40.5" customHeight="1">
      <c r="A53" s="262" t="s">
        <v>545</v>
      </c>
      <c r="B53" s="258" t="s">
        <v>584</v>
      </c>
      <c r="C53" s="283" t="s">
        <v>530</v>
      </c>
      <c r="D53" s="263">
        <f>D52*0.025</f>
        <v>4.8425000000000002</v>
      </c>
      <c r="E53" s="274"/>
      <c r="F53" s="259"/>
    </row>
    <row r="54" spans="1:6" s="260" customFormat="1">
      <c r="A54" s="279">
        <v>3</v>
      </c>
      <c r="B54" s="258" t="s">
        <v>585</v>
      </c>
      <c r="C54" s="259" t="s">
        <v>586</v>
      </c>
      <c r="D54" s="259">
        <f>D52</f>
        <v>193.7</v>
      </c>
      <c r="E54" s="266"/>
      <c r="F54" s="259"/>
    </row>
    <row r="55" spans="1:6" s="261" customFormat="1" ht="31.5">
      <c r="A55" s="279">
        <v>4</v>
      </c>
      <c r="B55" s="258" t="s">
        <v>587</v>
      </c>
      <c r="C55" s="259" t="s">
        <v>554</v>
      </c>
      <c r="D55" s="259">
        <v>130.4</v>
      </c>
      <c r="E55" s="266"/>
      <c r="F55" s="259"/>
    </row>
    <row r="56" spans="1:6" s="260" customFormat="1">
      <c r="A56" s="279">
        <v>5</v>
      </c>
      <c r="B56" s="258" t="s">
        <v>588</v>
      </c>
      <c r="C56" s="259" t="s">
        <v>586</v>
      </c>
      <c r="D56" s="259">
        <v>120.65</v>
      </c>
      <c r="E56" s="266"/>
      <c r="F56" s="259"/>
    </row>
    <row r="57" spans="1:6" s="282" customFormat="1" ht="83.25" customHeight="1">
      <c r="A57" s="262">
        <v>6</v>
      </c>
      <c r="B57" s="258" t="s">
        <v>589</v>
      </c>
      <c r="C57" s="263" t="s">
        <v>554</v>
      </c>
      <c r="D57" s="263">
        <v>120.65</v>
      </c>
      <c r="E57" s="274"/>
      <c r="F57" s="259"/>
    </row>
    <row r="58" spans="1:6" s="282" customFormat="1" ht="30.75" customHeight="1">
      <c r="A58" s="262" t="s">
        <v>556</v>
      </c>
      <c r="B58" s="258" t="s">
        <v>584</v>
      </c>
      <c r="C58" s="283" t="s">
        <v>530</v>
      </c>
      <c r="D58" s="263">
        <f>D57*0.025</f>
        <v>3.0162500000000003</v>
      </c>
      <c r="E58" s="274"/>
      <c r="F58" s="259"/>
    </row>
    <row r="59" spans="1:6" s="264" customFormat="1" ht="33" customHeight="1">
      <c r="A59" s="262">
        <v>7</v>
      </c>
      <c r="B59" s="258" t="s">
        <v>590</v>
      </c>
      <c r="C59" s="263" t="s">
        <v>554</v>
      </c>
      <c r="D59" s="263">
        <v>15.05</v>
      </c>
      <c r="E59" s="274"/>
      <c r="F59" s="259"/>
    </row>
    <row r="60" spans="1:6" s="256" customFormat="1" ht="15.75" customHeight="1">
      <c r="A60" s="265"/>
      <c r="B60" s="254" t="s">
        <v>591</v>
      </c>
      <c r="C60" s="253"/>
      <c r="D60" s="253"/>
      <c r="E60" s="253"/>
      <c r="F60" s="259"/>
    </row>
    <row r="61" spans="1:6" s="269" customFormat="1">
      <c r="A61" s="267">
        <v>1</v>
      </c>
      <c r="B61" s="147" t="s">
        <v>592</v>
      </c>
      <c r="C61" s="268" t="s">
        <v>530</v>
      </c>
      <c r="D61" s="268">
        <v>18.05</v>
      </c>
      <c r="E61" s="270"/>
      <c r="F61" s="259"/>
    </row>
    <row r="62" spans="1:6" s="256" customFormat="1" ht="15.75" customHeight="1">
      <c r="A62" s="265"/>
      <c r="B62" s="254" t="s">
        <v>593</v>
      </c>
      <c r="C62" s="253"/>
      <c r="D62" s="253"/>
      <c r="E62" s="253"/>
      <c r="F62" s="259"/>
    </row>
    <row r="63" spans="1:6" s="289" customFormat="1" ht="31.5" customHeight="1">
      <c r="A63" s="284">
        <v>1</v>
      </c>
      <c r="B63" s="285" t="s">
        <v>594</v>
      </c>
      <c r="C63" s="286" t="s">
        <v>586</v>
      </c>
      <c r="D63" s="287">
        <v>8.1</v>
      </c>
      <c r="E63" s="288"/>
      <c r="F63" s="259"/>
    </row>
    <row r="64" spans="1:6" s="260" customFormat="1" ht="47.25">
      <c r="A64" s="279">
        <v>2</v>
      </c>
      <c r="B64" s="258" t="s">
        <v>595</v>
      </c>
      <c r="C64" s="259" t="s">
        <v>586</v>
      </c>
      <c r="D64" s="278">
        <f>(D65+D67+D69)*2</f>
        <v>261.10000000000002</v>
      </c>
      <c r="E64" s="266"/>
      <c r="F64" s="259"/>
    </row>
    <row r="65" spans="1:6" s="264" customFormat="1" ht="63">
      <c r="A65" s="279">
        <v>3</v>
      </c>
      <c r="B65" s="258" t="s">
        <v>596</v>
      </c>
      <c r="C65" s="259" t="s">
        <v>554</v>
      </c>
      <c r="D65" s="259">
        <f>83</f>
        <v>83</v>
      </c>
      <c r="E65" s="266"/>
      <c r="F65" s="259"/>
    </row>
    <row r="66" spans="1:6" s="264" customFormat="1" ht="47.25">
      <c r="A66" s="262" t="s">
        <v>597</v>
      </c>
      <c r="B66" s="258" t="s">
        <v>598</v>
      </c>
      <c r="C66" s="263" t="s">
        <v>530</v>
      </c>
      <c r="D66" s="263">
        <v>1.08</v>
      </c>
      <c r="E66" s="274"/>
      <c r="F66" s="259"/>
    </row>
    <row r="67" spans="1:6" s="264" customFormat="1" ht="78.75">
      <c r="A67" s="279">
        <v>4</v>
      </c>
      <c r="B67" s="258" t="s">
        <v>599</v>
      </c>
      <c r="C67" s="259" t="s">
        <v>554</v>
      </c>
      <c r="D67" s="259">
        <v>9</v>
      </c>
      <c r="E67" s="266"/>
      <c r="F67" s="259"/>
    </row>
    <row r="68" spans="1:6" s="264" customFormat="1" ht="47.25">
      <c r="A68" s="262" t="s">
        <v>550</v>
      </c>
      <c r="B68" s="258" t="s">
        <v>600</v>
      </c>
      <c r="C68" s="263" t="s">
        <v>530</v>
      </c>
      <c r="D68" s="263">
        <v>0.23</v>
      </c>
      <c r="E68" s="274"/>
      <c r="F68" s="259"/>
    </row>
    <row r="69" spans="1:6" s="264" customFormat="1" ht="63">
      <c r="A69" s="279">
        <v>5</v>
      </c>
      <c r="B69" s="258" t="s">
        <v>601</v>
      </c>
      <c r="C69" s="259" t="s">
        <v>554</v>
      </c>
      <c r="D69" s="259">
        <v>38.549999999999997</v>
      </c>
      <c r="E69" s="266"/>
      <c r="F69" s="259"/>
    </row>
    <row r="70" spans="1:6" s="264" customFormat="1" ht="47.25">
      <c r="A70" s="262" t="s">
        <v>602</v>
      </c>
      <c r="B70" s="258" t="s">
        <v>598</v>
      </c>
      <c r="C70" s="263" t="s">
        <v>530</v>
      </c>
      <c r="D70" s="263">
        <v>0.5</v>
      </c>
      <c r="E70" s="274"/>
      <c r="F70" s="259"/>
    </row>
    <row r="71" spans="1:6" s="264" customFormat="1" ht="70.5" customHeight="1">
      <c r="A71" s="262">
        <v>6</v>
      </c>
      <c r="B71" s="258" t="s">
        <v>603</v>
      </c>
      <c r="C71" s="263" t="s">
        <v>554</v>
      </c>
      <c r="D71" s="263">
        <f>D69</f>
        <v>38.549999999999997</v>
      </c>
      <c r="E71" s="274"/>
      <c r="F71" s="259"/>
    </row>
    <row r="72" spans="1:6" s="294" customFormat="1">
      <c r="A72" s="290"/>
      <c r="B72" s="291" t="s">
        <v>604</v>
      </c>
      <c r="C72" s="292"/>
      <c r="D72" s="293"/>
      <c r="E72" s="292"/>
      <c r="F72" s="259"/>
    </row>
    <row r="73" spans="1:6" s="264" customFormat="1" ht="51" customHeight="1">
      <c r="A73" s="276">
        <v>1</v>
      </c>
      <c r="B73" s="258" t="s">
        <v>605</v>
      </c>
      <c r="C73" s="263" t="s">
        <v>554</v>
      </c>
      <c r="D73" s="283">
        <f>48.45+2.79</f>
        <v>51.24</v>
      </c>
      <c r="E73" s="274"/>
      <c r="F73" s="259"/>
    </row>
    <row r="74" spans="1:6" s="282" customFormat="1" ht="49.5" customHeight="1">
      <c r="A74" s="262">
        <v>2</v>
      </c>
      <c r="B74" s="258" t="s">
        <v>606</v>
      </c>
      <c r="C74" s="263" t="s">
        <v>554</v>
      </c>
      <c r="D74" s="263">
        <v>9.18</v>
      </c>
      <c r="E74" s="263"/>
      <c r="F74" s="259"/>
    </row>
    <row r="75" spans="1:6" s="282" customFormat="1" ht="51" customHeight="1">
      <c r="A75" s="262">
        <v>3</v>
      </c>
      <c r="B75" s="258" t="s">
        <v>607</v>
      </c>
      <c r="C75" s="263" t="s">
        <v>554</v>
      </c>
      <c r="D75" s="283">
        <f>3.58+1.48</f>
        <v>5.0600000000000005</v>
      </c>
      <c r="E75" s="274"/>
      <c r="F75" s="259"/>
    </row>
    <row r="76" spans="1:6" s="282" customFormat="1" ht="51" customHeight="1">
      <c r="A76" s="262">
        <v>4</v>
      </c>
      <c r="B76" s="258" t="s">
        <v>608</v>
      </c>
      <c r="C76" s="263" t="s">
        <v>554</v>
      </c>
      <c r="D76" s="283">
        <f>5.28+1.76+12.32+1.6</f>
        <v>20.96</v>
      </c>
      <c r="E76" s="274"/>
      <c r="F76" s="259"/>
    </row>
    <row r="77" spans="1:6" s="300" customFormat="1">
      <c r="A77" s="295">
        <v>5</v>
      </c>
      <c r="B77" s="296" t="s">
        <v>609</v>
      </c>
      <c r="C77" s="297" t="s">
        <v>554</v>
      </c>
      <c r="D77" s="298">
        <v>0.81</v>
      </c>
      <c r="E77" s="299"/>
      <c r="F77" s="259"/>
    </row>
    <row r="78" spans="1:6" s="302" customFormat="1" ht="31.5">
      <c r="A78" s="279">
        <v>6</v>
      </c>
      <c r="B78" s="301" t="s">
        <v>610</v>
      </c>
      <c r="C78" s="259" t="s">
        <v>554</v>
      </c>
      <c r="D78" s="259">
        <f>D77*2</f>
        <v>1.62</v>
      </c>
      <c r="E78" s="266"/>
      <c r="F78" s="259"/>
    </row>
    <row r="79" spans="1:6" s="305" customFormat="1" ht="31.5">
      <c r="A79" s="265">
        <v>7</v>
      </c>
      <c r="B79" s="285" t="s">
        <v>611</v>
      </c>
      <c r="C79" s="303" t="s">
        <v>554</v>
      </c>
      <c r="D79" s="303">
        <f>D77*2</f>
        <v>1.62</v>
      </c>
      <c r="E79" s="304"/>
      <c r="F79" s="259"/>
    </row>
    <row r="80" spans="1:6" s="260" customFormat="1" ht="33.75" customHeight="1">
      <c r="A80" s="279">
        <v>8</v>
      </c>
      <c r="B80" s="258" t="s">
        <v>612</v>
      </c>
      <c r="C80" s="259" t="s">
        <v>554</v>
      </c>
      <c r="D80" s="278">
        <v>7.45</v>
      </c>
      <c r="E80" s="266"/>
      <c r="F80" s="259"/>
    </row>
    <row r="81" spans="1:6" s="302" customFormat="1">
      <c r="A81" s="290"/>
      <c r="B81" s="254" t="s">
        <v>613</v>
      </c>
      <c r="C81" s="292"/>
      <c r="D81" s="292"/>
      <c r="E81" s="292"/>
      <c r="F81" s="259"/>
    </row>
    <row r="82" spans="1:6" s="307" customFormat="1">
      <c r="A82" s="279">
        <v>1</v>
      </c>
      <c r="B82" s="301" t="s">
        <v>614</v>
      </c>
      <c r="C82" s="278" t="s">
        <v>554</v>
      </c>
      <c r="D82" s="278">
        <v>327.8</v>
      </c>
      <c r="E82" s="306"/>
      <c r="F82" s="259"/>
    </row>
    <row r="83" spans="1:6" s="261" customFormat="1" ht="19.5" customHeight="1">
      <c r="A83" s="257">
        <v>2</v>
      </c>
      <c r="B83" s="258" t="s">
        <v>615</v>
      </c>
      <c r="C83" s="259" t="s">
        <v>530</v>
      </c>
      <c r="D83" s="278">
        <f>191.6*0.1</f>
        <v>19.16</v>
      </c>
      <c r="E83" s="266"/>
      <c r="F83" s="259"/>
    </row>
    <row r="84" spans="1:6" s="282" customFormat="1">
      <c r="A84" s="276">
        <v>3</v>
      </c>
      <c r="B84" s="258" t="s">
        <v>616</v>
      </c>
      <c r="C84" s="263" t="s">
        <v>554</v>
      </c>
      <c r="D84" s="283">
        <v>277.8</v>
      </c>
      <c r="E84" s="274"/>
      <c r="F84" s="259"/>
    </row>
    <row r="85" spans="1:6" s="271" customFormat="1" ht="37.5" customHeight="1">
      <c r="A85" s="308">
        <v>4</v>
      </c>
      <c r="B85" s="285" t="s">
        <v>617</v>
      </c>
      <c r="C85" s="309" t="s">
        <v>554</v>
      </c>
      <c r="D85" s="287">
        <v>11.7</v>
      </c>
      <c r="E85" s="288"/>
      <c r="F85" s="259"/>
    </row>
    <row r="86" spans="1:6" s="282" customFormat="1" ht="54.75" customHeight="1">
      <c r="A86" s="276">
        <v>5</v>
      </c>
      <c r="B86" s="301" t="s">
        <v>618</v>
      </c>
      <c r="C86" s="263" t="s">
        <v>554</v>
      </c>
      <c r="D86" s="283">
        <v>215.7</v>
      </c>
      <c r="E86" s="274"/>
      <c r="F86" s="259"/>
    </row>
    <row r="87" spans="1:6" s="311" customFormat="1" ht="31.5">
      <c r="A87" s="265">
        <v>6</v>
      </c>
      <c r="B87" s="285" t="s">
        <v>619</v>
      </c>
      <c r="C87" s="303" t="s">
        <v>554</v>
      </c>
      <c r="D87" s="310">
        <f>16.8+3</f>
        <v>19.8</v>
      </c>
      <c r="E87" s="304"/>
      <c r="F87" s="259"/>
    </row>
    <row r="88" spans="1:6" s="302" customFormat="1">
      <c r="A88" s="290"/>
      <c r="B88" s="254" t="s">
        <v>620</v>
      </c>
      <c r="C88" s="292"/>
      <c r="D88" s="292"/>
      <c r="E88" s="292"/>
      <c r="F88" s="259"/>
    </row>
    <row r="89" spans="1:6" s="261" customFormat="1" ht="15.75" customHeight="1">
      <c r="A89" s="279">
        <v>1</v>
      </c>
      <c r="B89" s="258" t="s">
        <v>621</v>
      </c>
      <c r="C89" s="259" t="s">
        <v>554</v>
      </c>
      <c r="D89" s="278">
        <f>272.1+84</f>
        <v>356.1</v>
      </c>
      <c r="E89" s="266"/>
      <c r="F89" s="259"/>
    </row>
    <row r="90" spans="1:6" s="261" customFormat="1">
      <c r="A90" s="257">
        <v>2</v>
      </c>
      <c r="B90" s="258" t="s">
        <v>622</v>
      </c>
      <c r="C90" s="259" t="s">
        <v>554</v>
      </c>
      <c r="D90" s="259">
        <v>242.1</v>
      </c>
      <c r="E90" s="266"/>
      <c r="F90" s="259"/>
    </row>
    <row r="91" spans="1:6" s="261" customFormat="1" ht="15.75" customHeight="1">
      <c r="A91" s="279">
        <v>3</v>
      </c>
      <c r="B91" s="258" t="s">
        <v>585</v>
      </c>
      <c r="C91" s="259" t="s">
        <v>554</v>
      </c>
      <c r="D91" s="278">
        <v>272.10000000000002</v>
      </c>
      <c r="E91" s="266"/>
      <c r="F91" s="259"/>
    </row>
    <row r="92" spans="1:6" s="261" customFormat="1">
      <c r="A92" s="279">
        <v>4</v>
      </c>
      <c r="B92" s="258" t="s">
        <v>623</v>
      </c>
      <c r="C92" s="259" t="s">
        <v>554</v>
      </c>
      <c r="D92" s="278">
        <v>272.10000000000002</v>
      </c>
      <c r="E92" s="266"/>
      <c r="F92" s="259"/>
    </row>
    <row r="93" spans="1:6" s="261" customFormat="1" ht="21" customHeight="1">
      <c r="A93" s="279">
        <v>5</v>
      </c>
      <c r="B93" s="258" t="s">
        <v>624</v>
      </c>
      <c r="C93" s="297" t="s">
        <v>554</v>
      </c>
      <c r="D93" s="259">
        <v>272.10000000000002</v>
      </c>
      <c r="E93" s="266"/>
      <c r="F93" s="259"/>
    </row>
    <row r="94" spans="1:6" s="307" customFormat="1">
      <c r="A94" s="279">
        <v>6</v>
      </c>
      <c r="B94" s="301" t="s">
        <v>625</v>
      </c>
      <c r="C94" s="278" t="s">
        <v>554</v>
      </c>
      <c r="D94" s="278">
        <f>D93</f>
        <v>272.10000000000002</v>
      </c>
      <c r="E94" s="306"/>
      <c r="F94" s="259"/>
    </row>
    <row r="95" spans="1:6" s="307" customFormat="1">
      <c r="A95" s="279">
        <v>7</v>
      </c>
      <c r="B95" s="301" t="s">
        <v>626</v>
      </c>
      <c r="C95" s="278" t="s">
        <v>554</v>
      </c>
      <c r="D95" s="278">
        <f>D93</f>
        <v>272.10000000000002</v>
      </c>
      <c r="E95" s="306"/>
      <c r="F95" s="259"/>
    </row>
    <row r="96" spans="1:6" s="271" customFormat="1">
      <c r="A96" s="267">
        <v>8</v>
      </c>
      <c r="B96" s="147" t="s">
        <v>627</v>
      </c>
      <c r="C96" s="268" t="s">
        <v>530</v>
      </c>
      <c r="D96" s="268">
        <f>D95*0.05</f>
        <v>13.605000000000002</v>
      </c>
      <c r="E96" s="270"/>
      <c r="F96" s="259"/>
    </row>
    <row r="97" spans="1:6" s="261" customFormat="1" ht="20.25" customHeight="1">
      <c r="A97" s="279">
        <v>9</v>
      </c>
      <c r="B97" s="258" t="s">
        <v>628</v>
      </c>
      <c r="C97" s="259" t="s">
        <v>554</v>
      </c>
      <c r="D97" s="259">
        <f>D94</f>
        <v>272.10000000000002</v>
      </c>
      <c r="E97" s="266"/>
      <c r="F97" s="259"/>
    </row>
    <row r="98" spans="1:6" s="302" customFormat="1">
      <c r="A98" s="290"/>
      <c r="B98" s="254" t="s">
        <v>629</v>
      </c>
      <c r="C98" s="292"/>
      <c r="D98" s="292"/>
      <c r="E98" s="292"/>
      <c r="F98" s="259"/>
    </row>
    <row r="99" spans="1:6" s="261" customFormat="1" ht="45" customHeight="1">
      <c r="A99" s="279">
        <v>1</v>
      </c>
      <c r="B99" s="258" t="s">
        <v>630</v>
      </c>
      <c r="C99" s="259" t="s">
        <v>554</v>
      </c>
      <c r="D99" s="259">
        <v>44.53</v>
      </c>
      <c r="E99" s="266"/>
      <c r="F99" s="259"/>
    </row>
    <row r="100" spans="1:6" s="282" customFormat="1" ht="53.25" customHeight="1">
      <c r="A100" s="276">
        <v>2</v>
      </c>
      <c r="B100" s="258" t="s">
        <v>631</v>
      </c>
      <c r="C100" s="263" t="s">
        <v>554</v>
      </c>
      <c r="D100" s="263">
        <f>63+15.2</f>
        <v>78.2</v>
      </c>
      <c r="E100" s="274"/>
      <c r="F100" s="259"/>
    </row>
    <row r="101" spans="1:6" s="282" customFormat="1" ht="45" customHeight="1">
      <c r="A101" s="262" t="s">
        <v>545</v>
      </c>
      <c r="B101" s="258" t="s">
        <v>584</v>
      </c>
      <c r="C101" s="283" t="s">
        <v>530</v>
      </c>
      <c r="D101" s="263">
        <f>D100*0.025</f>
        <v>1.9550000000000001</v>
      </c>
      <c r="E101" s="274"/>
      <c r="F101" s="259"/>
    </row>
    <row r="102" spans="1:6" s="307" customFormat="1" ht="31.5">
      <c r="A102" s="276">
        <v>3</v>
      </c>
      <c r="B102" s="301" t="s">
        <v>632</v>
      </c>
      <c r="C102" s="283" t="s">
        <v>554</v>
      </c>
      <c r="D102" s="283">
        <v>58.4</v>
      </c>
      <c r="E102" s="283"/>
      <c r="F102" s="259"/>
    </row>
    <row r="103" spans="1:6" s="302" customFormat="1" ht="35.25" customHeight="1">
      <c r="A103" s="284">
        <v>4</v>
      </c>
      <c r="B103" s="312" t="s">
        <v>633</v>
      </c>
      <c r="C103" s="283" t="s">
        <v>554</v>
      </c>
      <c r="D103" s="287">
        <f>8.1*2</f>
        <v>16.2</v>
      </c>
      <c r="E103" s="306"/>
      <c r="F103" s="259"/>
    </row>
    <row r="104" spans="1:6" s="261" customFormat="1" ht="39" customHeight="1">
      <c r="A104" s="279">
        <v>5</v>
      </c>
      <c r="B104" s="258" t="s">
        <v>634</v>
      </c>
      <c r="C104" s="259" t="s">
        <v>554</v>
      </c>
      <c r="D104" s="259">
        <v>227.4</v>
      </c>
      <c r="E104" s="266"/>
      <c r="F104" s="259"/>
    </row>
    <row r="105" spans="1:6" s="294" customFormat="1" ht="36.75" customHeight="1">
      <c r="A105" s="308">
        <v>6</v>
      </c>
      <c r="B105" s="285" t="s">
        <v>635</v>
      </c>
      <c r="C105" s="309" t="s">
        <v>586</v>
      </c>
      <c r="D105" s="287">
        <v>11.7</v>
      </c>
      <c r="E105" s="288"/>
      <c r="F105" s="259"/>
    </row>
    <row r="106" spans="1:6" s="269" customFormat="1" ht="36.75" customHeight="1">
      <c r="A106" s="262">
        <v>7</v>
      </c>
      <c r="B106" s="258" t="s">
        <v>636</v>
      </c>
      <c r="C106" s="263" t="s">
        <v>554</v>
      </c>
      <c r="D106" s="283">
        <f>D105</f>
        <v>11.7</v>
      </c>
      <c r="E106" s="304"/>
      <c r="F106" s="259"/>
    </row>
    <row r="107" spans="1:6" s="282" customFormat="1" ht="48" customHeight="1">
      <c r="A107" s="262">
        <v>8</v>
      </c>
      <c r="B107" s="258" t="s">
        <v>637</v>
      </c>
      <c r="C107" s="263" t="s">
        <v>554</v>
      </c>
      <c r="D107" s="263">
        <v>215.7</v>
      </c>
      <c r="E107" s="274"/>
      <c r="F107" s="259"/>
    </row>
    <row r="108" spans="1:6" s="294" customFormat="1">
      <c r="A108" s="290"/>
      <c r="B108" s="291" t="s">
        <v>638</v>
      </c>
      <c r="C108" s="292"/>
      <c r="D108" s="293"/>
      <c r="E108" s="292"/>
      <c r="F108" s="259"/>
    </row>
    <row r="109" spans="1:6" s="282" customFormat="1" ht="49.5" customHeight="1">
      <c r="A109" s="276">
        <v>1</v>
      </c>
      <c r="B109" s="301" t="s">
        <v>618</v>
      </c>
      <c r="C109" s="263" t="s">
        <v>554</v>
      </c>
      <c r="D109" s="263">
        <v>64.42</v>
      </c>
      <c r="E109" s="274"/>
      <c r="F109" s="259"/>
    </row>
    <row r="110" spans="1:6" s="282" customFormat="1" ht="50.25" customHeight="1">
      <c r="A110" s="262">
        <v>2</v>
      </c>
      <c r="B110" s="258" t="s">
        <v>639</v>
      </c>
      <c r="C110" s="263" t="s">
        <v>554</v>
      </c>
      <c r="D110" s="263">
        <v>18</v>
      </c>
      <c r="E110" s="274"/>
      <c r="F110" s="259"/>
    </row>
    <row r="111" spans="1:6" s="282" customFormat="1" ht="51.75" customHeight="1">
      <c r="A111" s="276">
        <v>3</v>
      </c>
      <c r="B111" s="258" t="s">
        <v>640</v>
      </c>
      <c r="C111" s="263" t="s">
        <v>641</v>
      </c>
      <c r="D111" s="263">
        <v>24.8</v>
      </c>
      <c r="E111" s="274"/>
      <c r="F111" s="259"/>
    </row>
    <row r="112" spans="1:6" s="282" customFormat="1" ht="47.25">
      <c r="A112" s="262">
        <v>4</v>
      </c>
      <c r="B112" s="258" t="s">
        <v>642</v>
      </c>
      <c r="C112" s="263" t="s">
        <v>554</v>
      </c>
      <c r="D112" s="263">
        <f>4.5+2.2</f>
        <v>6.7</v>
      </c>
      <c r="E112" s="263"/>
      <c r="F112" s="259"/>
    </row>
    <row r="113" spans="1:6" s="294" customFormat="1">
      <c r="A113" s="290"/>
      <c r="B113" s="291" t="s">
        <v>643</v>
      </c>
      <c r="C113" s="292"/>
      <c r="D113" s="293"/>
      <c r="E113" s="292"/>
      <c r="F113" s="259"/>
    </row>
    <row r="114" spans="1:6" s="261" customFormat="1" ht="18" customHeight="1">
      <c r="A114" s="257">
        <v>1</v>
      </c>
      <c r="B114" s="258" t="s">
        <v>644</v>
      </c>
      <c r="C114" s="259" t="s">
        <v>645</v>
      </c>
      <c r="D114" s="259">
        <v>42</v>
      </c>
      <c r="E114" s="266"/>
      <c r="F114" s="259"/>
    </row>
    <row r="115" spans="1:6" s="282" customFormat="1" ht="18" customHeight="1">
      <c r="A115" s="263" t="s">
        <v>535</v>
      </c>
      <c r="B115" s="313" t="s">
        <v>646</v>
      </c>
      <c r="C115" s="263" t="s">
        <v>474</v>
      </c>
      <c r="D115" s="263">
        <v>30</v>
      </c>
      <c r="E115" s="274"/>
      <c r="F115" s="259"/>
    </row>
    <row r="116" spans="1:6" s="317" customFormat="1">
      <c r="A116" s="314"/>
      <c r="B116" s="314" t="s">
        <v>407</v>
      </c>
      <c r="C116" s="314"/>
      <c r="D116" s="314"/>
      <c r="E116" s="315"/>
      <c r="F116" s="316">
        <f>SUM(F9:F115)</f>
        <v>0</v>
      </c>
    </row>
    <row r="117" spans="1:6" s="321" customFormat="1" ht="54">
      <c r="A117" s="318"/>
      <c r="B117" s="319" t="s">
        <v>647</v>
      </c>
      <c r="C117" s="263" t="s">
        <v>648</v>
      </c>
      <c r="D117" s="263">
        <v>34.25</v>
      </c>
      <c r="E117" s="320"/>
      <c r="F117" s="259"/>
    </row>
    <row r="118" spans="1:6" s="325" customFormat="1" ht="16.5">
      <c r="A118" s="322"/>
      <c r="B118" s="323" t="s">
        <v>398</v>
      </c>
      <c r="C118" s="324"/>
      <c r="D118" s="322"/>
      <c r="E118" s="322"/>
      <c r="F118" s="316">
        <f>F116+F117</f>
        <v>0</v>
      </c>
    </row>
    <row r="121" spans="1:6" ht="36" customHeight="1">
      <c r="B121" s="327" t="s">
        <v>649</v>
      </c>
      <c r="C121" s="327"/>
      <c r="D121" s="327"/>
      <c r="E121" s="327"/>
      <c r="F121" s="327"/>
    </row>
  </sheetData>
  <mergeCells count="11">
    <mergeCell ref="B121:F121"/>
    <mergeCell ref="A1:F1"/>
    <mergeCell ref="A2:F2"/>
    <mergeCell ref="B3:F3"/>
    <mergeCell ref="A4:F4"/>
    <mergeCell ref="A5:A6"/>
    <mergeCell ref="B5:B6"/>
    <mergeCell ref="C5:C6"/>
    <mergeCell ref="D5:D6"/>
    <mergeCell ref="E5:E6"/>
    <mergeCell ref="F5:F6"/>
  </mergeCells>
  <pageMargins left="0.70866141732283472" right="0.11811023622047245" top="0.74803149606299213" bottom="0.74803149606299213" header="0.31496062992125984" footer="0.31496062992125984"/>
  <pageSetup paperSize="9" scale="95" orientation="portrait" verticalDpi="4294967293"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7"/>
  <sheetViews>
    <sheetView topLeftCell="A4" zoomScale="120" zoomScaleNormal="120" workbookViewId="0">
      <selection activeCell="B8" sqref="B8"/>
    </sheetView>
  </sheetViews>
  <sheetFormatPr defaultRowHeight="12.75"/>
  <cols>
    <col min="1" max="1" width="3.7109375" style="164" customWidth="1"/>
    <col min="2" max="2" width="50" style="164" customWidth="1"/>
    <col min="3" max="3" width="7" style="374" customWidth="1"/>
    <col min="4" max="4" width="7.7109375" style="164" customWidth="1"/>
    <col min="5" max="5" width="8.7109375" style="104" customWidth="1"/>
    <col min="6" max="6" width="9.5703125" style="164" customWidth="1"/>
    <col min="7" max="16384" width="9.140625" style="104"/>
  </cols>
  <sheetData>
    <row r="1" spans="1:14" s="199" customFormat="1" ht="45" customHeight="1">
      <c r="A1" s="231" t="str">
        <f>' N1-1'!A1:F1</f>
        <v>yazbegis, aragvis, fSav-xevsureTisa da TuSeTis dacul teritoriebze arsebuli 7 qoxis saxarjTaRricxvo dokumentacia.</v>
      </c>
      <c r="B1" s="198"/>
      <c r="C1" s="198"/>
      <c r="D1" s="198"/>
      <c r="E1" s="198"/>
      <c r="F1" s="198"/>
    </row>
    <row r="2" spans="1:14" s="331" customFormat="1" ht="30" customHeight="1">
      <c r="A2" s="330" t="s">
        <v>520</v>
      </c>
      <c r="B2" s="330"/>
      <c r="C2" s="330"/>
      <c r="D2" s="330"/>
      <c r="E2" s="330"/>
      <c r="F2" s="330"/>
    </row>
    <row r="3" spans="1:14" s="335" customFormat="1" ht="23.25" customHeight="1">
      <c r="A3" s="332"/>
      <c r="B3" s="333" t="s">
        <v>650</v>
      </c>
      <c r="C3" s="333"/>
      <c r="D3" s="333"/>
      <c r="E3" s="333"/>
      <c r="F3" s="333"/>
      <c r="G3" s="334"/>
      <c r="H3" s="334"/>
      <c r="I3" s="334"/>
      <c r="J3" s="334"/>
      <c r="K3" s="334"/>
      <c r="L3" s="334"/>
      <c r="M3" s="334"/>
      <c r="N3" s="334"/>
    </row>
    <row r="4" spans="1:14" ht="21" customHeight="1" thickBot="1">
      <c r="A4" s="336" t="s">
        <v>522</v>
      </c>
      <c r="B4" s="336"/>
      <c r="C4" s="336"/>
      <c r="D4" s="336"/>
      <c r="E4" s="336"/>
      <c r="F4" s="336"/>
    </row>
    <row r="5" spans="1:14" s="344" customFormat="1" ht="40.5" customHeight="1">
      <c r="A5" s="337" t="s">
        <v>392</v>
      </c>
      <c r="B5" s="338" t="s">
        <v>651</v>
      </c>
      <c r="C5" s="339" t="s">
        <v>652</v>
      </c>
      <c r="D5" s="340" t="s">
        <v>411</v>
      </c>
      <c r="E5" s="341" t="s">
        <v>526</v>
      </c>
      <c r="F5" s="342" t="s">
        <v>653</v>
      </c>
      <c r="G5" s="343"/>
      <c r="H5" s="343"/>
      <c r="I5" s="343"/>
      <c r="J5" s="343"/>
      <c r="K5" s="343"/>
      <c r="L5" s="343"/>
      <c r="M5" s="343"/>
    </row>
    <row r="6" spans="1:14" s="344" customFormat="1" ht="39" customHeight="1" thickBot="1">
      <c r="A6" s="345"/>
      <c r="B6" s="346"/>
      <c r="C6" s="347"/>
      <c r="D6" s="348"/>
      <c r="E6" s="349"/>
      <c r="F6" s="350"/>
      <c r="G6" s="343"/>
      <c r="H6" s="343"/>
      <c r="I6" s="343"/>
      <c r="J6" s="343"/>
      <c r="K6" s="343"/>
      <c r="L6" s="343"/>
      <c r="M6" s="343"/>
    </row>
    <row r="7" spans="1:14" s="356" customFormat="1" ht="21" customHeight="1">
      <c r="A7" s="351" t="s">
        <v>5</v>
      </c>
      <c r="B7" s="351">
        <v>2</v>
      </c>
      <c r="C7" s="352">
        <v>3</v>
      </c>
      <c r="D7" s="353">
        <v>4</v>
      </c>
      <c r="E7" s="352">
        <v>5</v>
      </c>
      <c r="F7" s="354">
        <v>6</v>
      </c>
      <c r="G7" s="355"/>
      <c r="H7" s="355"/>
      <c r="I7" s="355"/>
      <c r="J7" s="355"/>
      <c r="K7" s="355"/>
      <c r="L7" s="355"/>
      <c r="M7" s="355"/>
    </row>
    <row r="8" spans="1:14" s="356" customFormat="1" ht="46.5" customHeight="1">
      <c r="A8" s="357">
        <v>1</v>
      </c>
      <c r="B8" s="358" t="s">
        <v>654</v>
      </c>
      <c r="C8" s="359" t="s">
        <v>554</v>
      </c>
      <c r="D8" s="263">
        <v>23.35</v>
      </c>
      <c r="E8" s="274"/>
      <c r="F8" s="360"/>
      <c r="G8" s="355"/>
      <c r="H8" s="355"/>
      <c r="I8" s="355"/>
      <c r="J8" s="355"/>
      <c r="K8" s="355"/>
      <c r="L8" s="355"/>
      <c r="M8" s="355"/>
    </row>
    <row r="9" spans="1:14" s="365" customFormat="1" ht="42" customHeight="1">
      <c r="A9" s="361" t="s">
        <v>535</v>
      </c>
      <c r="B9" s="358" t="s">
        <v>655</v>
      </c>
      <c r="C9" s="362" t="s">
        <v>530</v>
      </c>
      <c r="D9" s="363">
        <f>D8*0.03</f>
        <v>0.70050000000000001</v>
      </c>
      <c r="E9" s="283"/>
      <c r="F9" s="360"/>
      <c r="G9" s="364"/>
      <c r="H9" s="364"/>
      <c r="I9" s="364"/>
      <c r="J9" s="364"/>
      <c r="K9" s="364"/>
      <c r="L9" s="364"/>
      <c r="M9" s="364"/>
    </row>
    <row r="10" spans="1:14" s="225" customFormat="1" ht="51.75" customHeight="1">
      <c r="A10" s="361">
        <v>2</v>
      </c>
      <c r="B10" s="358" t="s">
        <v>656</v>
      </c>
      <c r="C10" s="359" t="s">
        <v>554</v>
      </c>
      <c r="D10" s="263">
        <v>22.85</v>
      </c>
      <c r="E10" s="274"/>
      <c r="F10" s="360"/>
      <c r="G10" s="224"/>
      <c r="H10" s="224"/>
      <c r="I10" s="224"/>
      <c r="J10" s="224"/>
      <c r="K10" s="224"/>
      <c r="L10" s="224"/>
      <c r="M10" s="224"/>
    </row>
    <row r="11" spans="1:14" ht="39" customHeight="1">
      <c r="A11" s="361" t="s">
        <v>545</v>
      </c>
      <c r="B11" s="358" t="s">
        <v>657</v>
      </c>
      <c r="C11" s="362" t="s">
        <v>530</v>
      </c>
      <c r="D11" s="363">
        <f>D10*0.03</f>
        <v>0.6855</v>
      </c>
      <c r="E11" s="274"/>
      <c r="F11" s="360"/>
    </row>
    <row r="12" spans="1:14" ht="47.25">
      <c r="A12" s="361">
        <v>3</v>
      </c>
      <c r="B12" s="358" t="s">
        <v>658</v>
      </c>
      <c r="C12" s="359" t="s">
        <v>554</v>
      </c>
      <c r="D12" s="283">
        <v>1.6</v>
      </c>
      <c r="E12" s="274"/>
      <c r="F12" s="360"/>
    </row>
    <row r="13" spans="1:14" ht="47.25">
      <c r="A13" s="361">
        <f t="shared" ref="A13:A16" si="0">A12+1</f>
        <v>4</v>
      </c>
      <c r="B13" s="358" t="s">
        <v>659</v>
      </c>
      <c r="C13" s="366" t="s">
        <v>530</v>
      </c>
      <c r="D13" s="278">
        <v>0.45</v>
      </c>
      <c r="E13" s="266"/>
      <c r="F13" s="360"/>
    </row>
    <row r="14" spans="1:14" ht="31.5">
      <c r="A14" s="361">
        <f t="shared" si="0"/>
        <v>5</v>
      </c>
      <c r="B14" s="358" t="s">
        <v>660</v>
      </c>
      <c r="C14" s="366" t="s">
        <v>554</v>
      </c>
      <c r="D14" s="259">
        <v>18.600000000000001</v>
      </c>
      <c r="E14" s="266"/>
      <c r="F14" s="360"/>
    </row>
    <row r="15" spans="1:14" ht="36" customHeight="1">
      <c r="A15" s="361">
        <f t="shared" si="0"/>
        <v>6</v>
      </c>
      <c r="B15" s="358" t="s">
        <v>661</v>
      </c>
      <c r="C15" s="366" t="s">
        <v>554</v>
      </c>
      <c r="D15" s="259">
        <f>D14</f>
        <v>18.600000000000001</v>
      </c>
      <c r="E15" s="266"/>
      <c r="F15" s="360"/>
    </row>
    <row r="16" spans="1:14" ht="15.75">
      <c r="A16" s="361">
        <f t="shared" si="0"/>
        <v>7</v>
      </c>
      <c r="B16" s="358" t="s">
        <v>662</v>
      </c>
      <c r="C16" s="359" t="s">
        <v>554</v>
      </c>
      <c r="D16" s="263">
        <f>D14</f>
        <v>18.600000000000001</v>
      </c>
      <c r="E16" s="274"/>
      <c r="F16" s="360"/>
    </row>
    <row r="17" spans="1:6" s="373" customFormat="1" ht="16.5">
      <c r="A17" s="367"/>
      <c r="B17" s="368" t="s">
        <v>663</v>
      </c>
      <c r="C17" s="369"/>
      <c r="D17" s="370"/>
      <c r="E17" s="371"/>
      <c r="F17" s="372">
        <f>SUM(F8:F16)</f>
        <v>0</v>
      </c>
    </row>
  </sheetData>
  <mergeCells count="10">
    <mergeCell ref="A1:F1"/>
    <mergeCell ref="A2:F2"/>
    <mergeCell ref="B3:F3"/>
    <mergeCell ref="A4:F4"/>
    <mergeCell ref="A5:A6"/>
    <mergeCell ref="B5:B6"/>
    <mergeCell ref="C5:C6"/>
    <mergeCell ref="D5:D6"/>
    <mergeCell ref="E5:E6"/>
    <mergeCell ref="F5:F6"/>
  </mergeCells>
  <pageMargins left="0.70866141732283472" right="0.11811023622047245" top="0.74803149606299213" bottom="0.74803149606299213" header="0.31496062992125984" footer="0.31496062992125984"/>
  <pageSetup paperSize="9" scale="95" orientation="portrait" horizontalDpi="4294967295" verticalDpi="4294967295"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6"/>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9" s="199" customFormat="1" ht="32.25" customHeight="1">
      <c r="A1" s="231" t="str">
        <f>'N1-2'!A1:F1</f>
        <v>yazbegis, aragvis, fSav-xevsureTisa da TuSeTis dacul teritoriebze arsebuli 7 qoxis saxarjTaRricxvo dokumentacia.</v>
      </c>
      <c r="B1" s="198"/>
      <c r="C1" s="198"/>
      <c r="D1" s="198"/>
      <c r="E1" s="198"/>
      <c r="F1" s="198"/>
    </row>
    <row r="2" spans="1:9" s="376" customFormat="1" ht="13.5" customHeight="1">
      <c r="A2" s="375" t="s">
        <v>664</v>
      </c>
      <c r="B2" s="375"/>
      <c r="C2" s="375"/>
      <c r="D2" s="375"/>
      <c r="E2" s="375"/>
      <c r="F2" s="375"/>
    </row>
    <row r="3" spans="1:9" s="376" customFormat="1" ht="19.5" customHeight="1">
      <c r="A3" s="330" t="s">
        <v>520</v>
      </c>
      <c r="B3" s="330"/>
      <c r="C3" s="330"/>
      <c r="D3" s="330"/>
      <c r="E3" s="330"/>
      <c r="F3" s="330"/>
    </row>
    <row r="4" spans="1:9" s="335" customFormat="1" ht="20.25" customHeight="1">
      <c r="A4" s="377" t="s">
        <v>665</v>
      </c>
      <c r="B4" s="377"/>
      <c r="C4" s="377"/>
      <c r="D4" s="377"/>
      <c r="E4" s="377"/>
      <c r="F4" s="377"/>
      <c r="G4" s="378"/>
    </row>
    <row r="5" spans="1:9" s="199" customFormat="1" ht="19.5" customHeight="1" thickBot="1">
      <c r="A5" s="379" t="s">
        <v>511</v>
      </c>
      <c r="B5" s="379"/>
      <c r="C5" s="379"/>
      <c r="D5" s="379"/>
      <c r="E5" s="379"/>
      <c r="F5" s="379"/>
      <c r="G5" s="380"/>
    </row>
    <row r="6" spans="1:9" ht="87.6" customHeight="1" thickBot="1">
      <c r="A6" s="381" t="s">
        <v>523</v>
      </c>
      <c r="B6" s="382" t="s">
        <v>524</v>
      </c>
      <c r="C6" s="383" t="s">
        <v>525</v>
      </c>
      <c r="D6" s="384" t="s">
        <v>411</v>
      </c>
      <c r="E6" s="385" t="s">
        <v>526</v>
      </c>
      <c r="F6" s="386" t="s">
        <v>527</v>
      </c>
    </row>
    <row r="7" spans="1:9" ht="16.5" thickBot="1">
      <c r="A7" s="387">
        <v>1</v>
      </c>
      <c r="B7" s="388">
        <v>2</v>
      </c>
      <c r="C7" s="389">
        <v>3</v>
      </c>
      <c r="D7" s="390" t="s">
        <v>488</v>
      </c>
      <c r="E7" s="391" t="s">
        <v>513</v>
      </c>
      <c r="F7" s="392" t="s">
        <v>515</v>
      </c>
    </row>
    <row r="8" spans="1:9" s="397" customFormat="1" ht="120.75" customHeight="1">
      <c r="A8" s="393" t="s">
        <v>5</v>
      </c>
      <c r="B8" s="394" t="s">
        <v>666</v>
      </c>
      <c r="C8" s="393" t="s">
        <v>667</v>
      </c>
      <c r="D8" s="395">
        <v>1</v>
      </c>
      <c r="E8" s="396"/>
      <c r="F8" s="396"/>
    </row>
    <row r="9" spans="1:9" s="397" customFormat="1" ht="53.25" customHeight="1">
      <c r="A9" s="393" t="s">
        <v>7</v>
      </c>
      <c r="B9" s="394" t="s">
        <v>668</v>
      </c>
      <c r="C9" s="393" t="s">
        <v>669</v>
      </c>
      <c r="D9" s="395">
        <v>1</v>
      </c>
      <c r="E9" s="396"/>
      <c r="F9" s="396"/>
    </row>
    <row r="10" spans="1:9" s="398" customFormat="1" ht="76.5">
      <c r="A10" s="393" t="s">
        <v>487</v>
      </c>
      <c r="B10" s="394" t="s">
        <v>670</v>
      </c>
      <c r="C10" s="393" t="s">
        <v>667</v>
      </c>
      <c r="D10" s="395">
        <v>1</v>
      </c>
      <c r="E10" s="396"/>
      <c r="F10" s="396"/>
      <c r="H10" s="397"/>
      <c r="I10" s="397"/>
    </row>
    <row r="11" spans="1:9" s="397" customFormat="1" ht="31.5" customHeight="1">
      <c r="A11" s="393" t="s">
        <v>488</v>
      </c>
      <c r="B11" s="394" t="s">
        <v>671</v>
      </c>
      <c r="C11" s="393" t="s">
        <v>669</v>
      </c>
      <c r="D11" s="395">
        <v>1</v>
      </c>
      <c r="E11" s="396"/>
      <c r="F11" s="396"/>
    </row>
    <row r="12" spans="1:9" s="398" customFormat="1" ht="62.25" customHeight="1">
      <c r="A12" s="393" t="s">
        <v>513</v>
      </c>
      <c r="B12" s="394" t="s">
        <v>672</v>
      </c>
      <c r="C12" s="393" t="s">
        <v>669</v>
      </c>
      <c r="D12" s="395">
        <v>1</v>
      </c>
      <c r="E12" s="396"/>
      <c r="F12" s="396"/>
      <c r="H12" s="397"/>
      <c r="I12" s="397"/>
    </row>
    <row r="13" spans="1:9" s="398" customFormat="1" ht="31.5" customHeight="1">
      <c r="A13" s="393" t="s">
        <v>515</v>
      </c>
      <c r="B13" s="394" t="s">
        <v>673</v>
      </c>
      <c r="C13" s="393" t="s">
        <v>674</v>
      </c>
      <c r="D13" s="395">
        <v>3</v>
      </c>
      <c r="E13" s="396"/>
      <c r="F13" s="396"/>
      <c r="H13" s="397"/>
      <c r="I13" s="397"/>
    </row>
    <row r="14" spans="1:9" s="398" customFormat="1" ht="31.5" customHeight="1">
      <c r="A14" s="393" t="s">
        <v>675</v>
      </c>
      <c r="B14" s="394" t="s">
        <v>676</v>
      </c>
      <c r="C14" s="393" t="s">
        <v>667</v>
      </c>
      <c r="D14" s="395">
        <v>2</v>
      </c>
      <c r="E14" s="396"/>
      <c r="F14" s="396"/>
      <c r="G14" s="399"/>
      <c r="H14" s="397"/>
      <c r="I14" s="397"/>
    </row>
    <row r="15" spans="1:9" s="398" customFormat="1" ht="22.5" customHeight="1">
      <c r="A15" s="400">
        <v>19</v>
      </c>
      <c r="B15" s="401" t="s">
        <v>677</v>
      </c>
      <c r="C15" s="393" t="s">
        <v>667</v>
      </c>
      <c r="D15" s="402">
        <v>1</v>
      </c>
      <c r="E15" s="403"/>
      <c r="F15" s="396"/>
      <c r="H15" s="397"/>
      <c r="I15" s="397"/>
    </row>
    <row r="16" spans="1:9" s="398" customFormat="1" ht="20.25" customHeight="1">
      <c r="A16" s="404"/>
      <c r="B16" s="404" t="s">
        <v>407</v>
      </c>
      <c r="C16" s="404"/>
      <c r="D16" s="405"/>
      <c r="E16" s="406"/>
      <c r="F16" s="407">
        <f>SUM(F8:F15)</f>
        <v>0</v>
      </c>
    </row>
  </sheetData>
  <protectedRanges>
    <protectedRange sqref="B10 B8" name="Диапазон1_1"/>
    <protectedRange sqref="C10:D10 C8:D8" name="Диапазон1_1_1"/>
  </protectedRanges>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5"/>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7" s="199" customFormat="1" ht="32.25" customHeight="1">
      <c r="A1" s="231" t="str">
        <f>'N1-3'!A1:F1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520</v>
      </c>
      <c r="B3" s="330"/>
      <c r="C3" s="330"/>
      <c r="D3" s="330"/>
      <c r="E3" s="330"/>
      <c r="F3" s="330"/>
    </row>
    <row r="4" spans="1:7" s="335" customFormat="1" ht="20.25" customHeight="1">
      <c r="A4" s="377" t="s">
        <v>678</v>
      </c>
      <c r="B4" s="377"/>
      <c r="C4" s="377"/>
      <c r="D4" s="377"/>
      <c r="E4" s="377"/>
      <c r="F4" s="377"/>
      <c r="G4" s="378"/>
    </row>
    <row r="5" spans="1:7" s="199" customFormat="1" ht="19.5" customHeight="1" thickBot="1">
      <c r="A5" s="379" t="s">
        <v>512</v>
      </c>
      <c r="B5" s="379"/>
      <c r="C5" s="379"/>
      <c r="D5" s="379"/>
      <c r="E5" s="379"/>
      <c r="F5" s="379"/>
      <c r="G5" s="380"/>
    </row>
    <row r="6" spans="1:7" ht="87.6" customHeight="1" thickBot="1">
      <c r="A6" s="381" t="s">
        <v>523</v>
      </c>
      <c r="B6" s="382" t="s">
        <v>524</v>
      </c>
      <c r="C6" s="383" t="s">
        <v>525</v>
      </c>
      <c r="D6" s="384" t="s">
        <v>411</v>
      </c>
      <c r="E6" s="385" t="s">
        <v>526</v>
      </c>
      <c r="F6" s="386" t="s">
        <v>527</v>
      </c>
    </row>
    <row r="7" spans="1:7" ht="16.5" thickBot="1">
      <c r="A7" s="387">
        <v>1</v>
      </c>
      <c r="B7" s="388">
        <v>2</v>
      </c>
      <c r="C7" s="389">
        <v>3</v>
      </c>
      <c r="D7" s="390" t="s">
        <v>488</v>
      </c>
      <c r="E7" s="391" t="s">
        <v>513</v>
      </c>
      <c r="F7" s="392" t="s">
        <v>515</v>
      </c>
    </row>
    <row r="8" spans="1:7" s="397" customFormat="1" ht="73.5" customHeight="1">
      <c r="A8" s="393" t="s">
        <v>5</v>
      </c>
      <c r="B8" s="394" t="s">
        <v>679</v>
      </c>
      <c r="C8" s="393" t="s">
        <v>674</v>
      </c>
      <c r="D8" s="395">
        <v>1</v>
      </c>
      <c r="E8" s="396"/>
      <c r="F8" s="396"/>
    </row>
    <row r="9" spans="1:7" s="397" customFormat="1" ht="53.25" customHeight="1">
      <c r="A9" s="393" t="s">
        <v>7</v>
      </c>
      <c r="B9" s="394" t="s">
        <v>680</v>
      </c>
      <c r="C9" s="393" t="s">
        <v>674</v>
      </c>
      <c r="D9" s="395">
        <v>1</v>
      </c>
      <c r="E9" s="396"/>
      <c r="F9" s="396"/>
    </row>
    <row r="10" spans="1:7" s="398" customFormat="1" ht="13.5">
      <c r="A10" s="393" t="s">
        <v>487</v>
      </c>
      <c r="B10" s="394" t="s">
        <v>681</v>
      </c>
      <c r="C10" s="393" t="s">
        <v>674</v>
      </c>
      <c r="D10" s="395">
        <v>25</v>
      </c>
      <c r="E10" s="396"/>
      <c r="F10" s="396"/>
    </row>
    <row r="11" spans="1:7" s="397" customFormat="1" ht="30.75" customHeight="1">
      <c r="A11" s="393" t="s">
        <v>488</v>
      </c>
      <c r="B11" s="394" t="s">
        <v>682</v>
      </c>
      <c r="C11" s="393" t="s">
        <v>674</v>
      </c>
      <c r="D11" s="395">
        <v>25</v>
      </c>
      <c r="E11" s="396"/>
      <c r="F11" s="396"/>
    </row>
    <row r="12" spans="1:7" s="398" customFormat="1" ht="52.5" customHeight="1">
      <c r="A12" s="393" t="s">
        <v>513</v>
      </c>
      <c r="B12" s="394" t="s">
        <v>683</v>
      </c>
      <c r="C12" s="393" t="s">
        <v>674</v>
      </c>
      <c r="D12" s="395">
        <v>1</v>
      </c>
      <c r="E12" s="396"/>
      <c r="F12" s="396"/>
    </row>
    <row r="13" spans="1:7" s="398" customFormat="1" ht="22.5" customHeight="1">
      <c r="A13" s="393" t="s">
        <v>515</v>
      </c>
      <c r="B13" s="394" t="s">
        <v>684</v>
      </c>
      <c r="C13" s="393" t="s">
        <v>674</v>
      </c>
      <c r="D13" s="395">
        <v>1</v>
      </c>
      <c r="E13" s="396"/>
      <c r="F13" s="396"/>
    </row>
    <row r="14" spans="1:7" s="398" customFormat="1" ht="22.5" customHeight="1">
      <c r="A14" s="393" t="s">
        <v>675</v>
      </c>
      <c r="B14" s="394" t="s">
        <v>685</v>
      </c>
      <c r="C14" s="393" t="s">
        <v>674</v>
      </c>
      <c r="D14" s="395">
        <v>15</v>
      </c>
      <c r="E14" s="396"/>
      <c r="F14" s="396"/>
      <c r="G14" s="399"/>
    </row>
    <row r="15" spans="1:7" s="398" customFormat="1" ht="22.5" customHeight="1">
      <c r="A15" s="393" t="s">
        <v>686</v>
      </c>
      <c r="B15" s="394" t="s">
        <v>687</v>
      </c>
      <c r="C15" s="393" t="s">
        <v>674</v>
      </c>
      <c r="D15" s="395">
        <v>2</v>
      </c>
      <c r="E15" s="396"/>
      <c r="F15" s="396"/>
    </row>
    <row r="16" spans="1:7" s="398" customFormat="1" ht="20.25" customHeight="1">
      <c r="A16" s="393" t="s">
        <v>688</v>
      </c>
      <c r="B16" s="394" t="s">
        <v>689</v>
      </c>
      <c r="C16" s="393" t="s">
        <v>674</v>
      </c>
      <c r="D16" s="395">
        <v>3</v>
      </c>
      <c r="E16" s="396"/>
      <c r="F16" s="396"/>
    </row>
    <row r="17" spans="1:6" ht="38.25">
      <c r="A17" s="393" t="s">
        <v>690</v>
      </c>
      <c r="B17" s="394" t="s">
        <v>691</v>
      </c>
      <c r="C17" s="393" t="s">
        <v>674</v>
      </c>
      <c r="D17" s="395">
        <v>4</v>
      </c>
      <c r="E17" s="396"/>
      <c r="F17" s="396"/>
    </row>
    <row r="18" spans="1:6" ht="25.5">
      <c r="A18" s="393" t="s">
        <v>692</v>
      </c>
      <c r="B18" s="394" t="s">
        <v>693</v>
      </c>
      <c r="C18" s="393" t="s">
        <v>674</v>
      </c>
      <c r="D18" s="395">
        <v>4</v>
      </c>
      <c r="E18" s="396"/>
      <c r="F18" s="396"/>
    </row>
    <row r="19" spans="1:6" ht="242.25">
      <c r="A19" s="393" t="s">
        <v>694</v>
      </c>
      <c r="B19" s="394" t="s">
        <v>695</v>
      </c>
      <c r="C19" s="393" t="s">
        <v>667</v>
      </c>
      <c r="D19" s="395">
        <v>4</v>
      </c>
      <c r="E19" s="396"/>
      <c r="F19" s="396"/>
    </row>
    <row r="20" spans="1:6">
      <c r="A20" s="393" t="s">
        <v>696</v>
      </c>
      <c r="B20" s="410" t="s">
        <v>676</v>
      </c>
      <c r="C20" s="393" t="s">
        <v>667</v>
      </c>
      <c r="D20" s="395">
        <v>1</v>
      </c>
      <c r="E20" s="396"/>
      <c r="F20" s="396"/>
    </row>
    <row r="21" spans="1:6" ht="51">
      <c r="A21" s="393" t="s">
        <v>697</v>
      </c>
      <c r="B21" s="394" t="s">
        <v>698</v>
      </c>
      <c r="C21" s="393" t="s">
        <v>667</v>
      </c>
      <c r="D21" s="395">
        <v>1</v>
      </c>
      <c r="E21" s="396"/>
      <c r="F21" s="396"/>
    </row>
    <row r="22" spans="1:6">
      <c r="A22" s="393" t="s">
        <v>699</v>
      </c>
      <c r="B22" s="410" t="s">
        <v>676</v>
      </c>
      <c r="C22" s="393" t="s">
        <v>667</v>
      </c>
      <c r="D22" s="395">
        <v>1</v>
      </c>
      <c r="E22" s="396"/>
      <c r="F22" s="396"/>
    </row>
    <row r="23" spans="1:6" ht="89.25">
      <c r="A23" s="393" t="s">
        <v>700</v>
      </c>
      <c r="B23" s="394" t="s">
        <v>701</v>
      </c>
      <c r="C23" s="393" t="s">
        <v>667</v>
      </c>
      <c r="D23" s="395">
        <v>1</v>
      </c>
      <c r="E23" s="396"/>
      <c r="F23" s="396"/>
    </row>
    <row r="24" spans="1:6" s="398" customFormat="1" ht="22.5" customHeight="1">
      <c r="A24" s="400">
        <v>17</v>
      </c>
      <c r="B24" s="401" t="s">
        <v>702</v>
      </c>
      <c r="C24" s="393" t="s">
        <v>667</v>
      </c>
      <c r="D24" s="402">
        <v>1</v>
      </c>
      <c r="E24" s="403"/>
      <c r="F24" s="396"/>
    </row>
    <row r="25" spans="1:6" s="398" customFormat="1" ht="20.25" customHeight="1">
      <c r="A25" s="404"/>
      <c r="B25" s="404" t="s">
        <v>407</v>
      </c>
      <c r="C25" s="404"/>
      <c r="D25" s="405"/>
      <c r="E25" s="406"/>
      <c r="F25" s="407">
        <f>SUM(F8:F24)</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13"/>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6" s="199" customFormat="1" ht="32.25" customHeight="1">
      <c r="A1" s="231" t="str">
        <f>'N1-4 '!A1:F1</f>
        <v>yazbegis, aragvis, fSav-xevsureTisa da TuSeTis dacul teritoriebze arsebuli 7 qoxis saxarjTaRricxvo dokumentacia.</v>
      </c>
      <c r="B1" s="198"/>
      <c r="C1" s="198"/>
      <c r="D1" s="198"/>
      <c r="E1" s="198"/>
      <c r="F1" s="198"/>
    </row>
    <row r="2" spans="1:6" s="376" customFormat="1" ht="13.5" customHeight="1">
      <c r="A2" s="375" t="s">
        <v>664</v>
      </c>
      <c r="B2" s="375"/>
      <c r="C2" s="375"/>
      <c r="D2" s="375"/>
      <c r="E2" s="375"/>
      <c r="F2" s="375"/>
    </row>
    <row r="3" spans="1:6" s="376" customFormat="1" ht="19.5" customHeight="1">
      <c r="A3" s="330" t="s">
        <v>520</v>
      </c>
      <c r="B3" s="330"/>
      <c r="C3" s="330"/>
      <c r="D3" s="330"/>
      <c r="E3" s="330"/>
      <c r="F3" s="330"/>
    </row>
    <row r="4" spans="1:6" s="335" customFormat="1" ht="20.25" customHeight="1">
      <c r="A4" s="377" t="s">
        <v>703</v>
      </c>
      <c r="B4" s="377"/>
      <c r="C4" s="377"/>
      <c r="D4" s="377"/>
      <c r="E4" s="377"/>
      <c r="F4" s="377"/>
    </row>
    <row r="5" spans="1:6" s="199" customFormat="1" ht="19.5" customHeight="1" thickBot="1">
      <c r="A5" s="379" t="s">
        <v>514</v>
      </c>
      <c r="B5" s="379"/>
      <c r="C5" s="379"/>
      <c r="D5" s="379"/>
      <c r="E5" s="379"/>
      <c r="F5" s="379"/>
    </row>
    <row r="6" spans="1:6" ht="87.6" customHeight="1">
      <c r="A6" s="381" t="s">
        <v>523</v>
      </c>
      <c r="B6" s="382" t="s">
        <v>524</v>
      </c>
      <c r="C6" s="383" t="s">
        <v>525</v>
      </c>
      <c r="D6" s="384" t="s">
        <v>411</v>
      </c>
      <c r="E6" s="385" t="s">
        <v>526</v>
      </c>
      <c r="F6" s="386" t="s">
        <v>527</v>
      </c>
    </row>
    <row r="7" spans="1:6">
      <c r="A7" s="411">
        <v>1</v>
      </c>
      <c r="B7" s="411">
        <v>2</v>
      </c>
      <c r="C7" s="412">
        <v>3</v>
      </c>
      <c r="D7" s="413" t="s">
        <v>488</v>
      </c>
      <c r="E7" s="414" t="s">
        <v>513</v>
      </c>
      <c r="F7" s="413" t="s">
        <v>515</v>
      </c>
    </row>
    <row r="8" spans="1:6" s="397" customFormat="1" ht="28.5" customHeight="1">
      <c r="A8" s="393" t="s">
        <v>5</v>
      </c>
      <c r="B8" s="415" t="s">
        <v>704</v>
      </c>
      <c r="C8" s="416" t="s">
        <v>705</v>
      </c>
      <c r="D8" s="417">
        <v>295</v>
      </c>
      <c r="E8" s="418"/>
      <c r="F8" s="419"/>
    </row>
    <row r="9" spans="1:6" s="397" customFormat="1" ht="21.75" customHeight="1">
      <c r="A9" s="393" t="s">
        <v>7</v>
      </c>
      <c r="B9" s="420" t="s">
        <v>706</v>
      </c>
      <c r="C9" s="393" t="s">
        <v>707</v>
      </c>
      <c r="D9" s="417">
        <v>240</v>
      </c>
      <c r="E9" s="421"/>
      <c r="F9" s="419"/>
    </row>
    <row r="10" spans="1:6" s="398" customFormat="1" ht="42" customHeight="1">
      <c r="A10" s="393" t="s">
        <v>487</v>
      </c>
      <c r="B10" s="420" t="s">
        <v>708</v>
      </c>
      <c r="C10" s="393" t="s">
        <v>709</v>
      </c>
      <c r="D10" s="395">
        <v>55</v>
      </c>
      <c r="E10" s="396"/>
      <c r="F10" s="396"/>
    </row>
    <row r="11" spans="1:6" s="397" customFormat="1" ht="28.5" customHeight="1">
      <c r="A11" s="422">
        <f t="shared" ref="A11:A74" si="0">A10+1</f>
        <v>4</v>
      </c>
      <c r="B11" s="394" t="s">
        <v>710</v>
      </c>
      <c r="C11" s="393" t="s">
        <v>711</v>
      </c>
      <c r="D11" s="395">
        <v>350</v>
      </c>
      <c r="E11" s="396"/>
      <c r="F11" s="396"/>
    </row>
    <row r="12" spans="1:6" s="397" customFormat="1" ht="21.75" customHeight="1">
      <c r="A12" s="422">
        <f t="shared" si="0"/>
        <v>5</v>
      </c>
      <c r="B12" s="394" t="s">
        <v>712</v>
      </c>
      <c r="C12" s="393" t="s">
        <v>711</v>
      </c>
      <c r="D12" s="395">
        <v>5</v>
      </c>
      <c r="E12" s="396"/>
      <c r="F12" s="396"/>
    </row>
    <row r="13" spans="1:6" s="398" customFormat="1" ht="21.75" customHeight="1">
      <c r="A13" s="422">
        <f t="shared" si="0"/>
        <v>6</v>
      </c>
      <c r="B13" s="394" t="s">
        <v>713</v>
      </c>
      <c r="C13" s="393" t="s">
        <v>711</v>
      </c>
      <c r="D13" s="395">
        <v>45</v>
      </c>
      <c r="E13" s="396"/>
      <c r="F13" s="396"/>
    </row>
    <row r="14" spans="1:6" s="397" customFormat="1" ht="21.75" customHeight="1">
      <c r="A14" s="422">
        <f t="shared" si="0"/>
        <v>7</v>
      </c>
      <c r="B14" s="394" t="s">
        <v>714</v>
      </c>
      <c r="C14" s="393" t="s">
        <v>711</v>
      </c>
      <c r="D14" s="395">
        <v>22</v>
      </c>
      <c r="E14" s="396"/>
      <c r="F14" s="396"/>
    </row>
    <row r="15" spans="1:6" s="398" customFormat="1" ht="21.75" customHeight="1">
      <c r="A15" s="422">
        <f t="shared" si="0"/>
        <v>8</v>
      </c>
      <c r="B15" s="394" t="s">
        <v>715</v>
      </c>
      <c r="C15" s="393" t="s">
        <v>51</v>
      </c>
      <c r="D15" s="395">
        <v>1</v>
      </c>
      <c r="E15" s="396"/>
      <c r="F15" s="396"/>
    </row>
    <row r="16" spans="1:6" s="398" customFormat="1" ht="21.75" customHeight="1">
      <c r="A16" s="422">
        <f t="shared" si="0"/>
        <v>9</v>
      </c>
      <c r="B16" s="394" t="s">
        <v>716</v>
      </c>
      <c r="C16" s="393" t="s">
        <v>51</v>
      </c>
      <c r="D16" s="395">
        <v>75</v>
      </c>
      <c r="E16" s="396"/>
      <c r="F16" s="396"/>
    </row>
    <row r="17" spans="1:6" s="398" customFormat="1" ht="21.75" customHeight="1">
      <c r="A17" s="422">
        <f t="shared" si="0"/>
        <v>10</v>
      </c>
      <c r="B17" s="394" t="s">
        <v>717</v>
      </c>
      <c r="C17" s="393" t="s">
        <v>51</v>
      </c>
      <c r="D17" s="423">
        <v>36.666666666666671</v>
      </c>
      <c r="E17" s="396"/>
      <c r="F17" s="396"/>
    </row>
    <row r="18" spans="1:6" s="398" customFormat="1" ht="21.75" customHeight="1">
      <c r="A18" s="422">
        <f t="shared" si="0"/>
        <v>11</v>
      </c>
      <c r="B18" s="394" t="s">
        <v>718</v>
      </c>
      <c r="C18" s="393" t="s">
        <v>711</v>
      </c>
      <c r="D18" s="395">
        <v>5</v>
      </c>
      <c r="E18" s="396"/>
      <c r="F18" s="396"/>
    </row>
    <row r="19" spans="1:6" ht="21.75" customHeight="1">
      <c r="A19" s="422">
        <f t="shared" si="0"/>
        <v>12</v>
      </c>
      <c r="B19" s="394" t="s">
        <v>719</v>
      </c>
      <c r="C19" s="393" t="s">
        <v>711</v>
      </c>
      <c r="D19" s="395">
        <v>45</v>
      </c>
      <c r="E19" s="396"/>
      <c r="F19" s="396"/>
    </row>
    <row r="20" spans="1:6" ht="21.75" customHeight="1">
      <c r="A20" s="422">
        <f t="shared" si="0"/>
        <v>13</v>
      </c>
      <c r="B20" s="394" t="s">
        <v>720</v>
      </c>
      <c r="C20" s="393" t="s">
        <v>711</v>
      </c>
      <c r="D20" s="395">
        <v>22</v>
      </c>
      <c r="E20" s="396"/>
      <c r="F20" s="396"/>
    </row>
    <row r="21" spans="1:6" ht="21.75" customHeight="1">
      <c r="A21" s="422">
        <f t="shared" si="0"/>
        <v>14</v>
      </c>
      <c r="B21" s="394" t="s">
        <v>721</v>
      </c>
      <c r="C21" s="393" t="s">
        <v>711</v>
      </c>
      <c r="D21" s="395">
        <v>45</v>
      </c>
      <c r="E21" s="396"/>
      <c r="F21" s="396"/>
    </row>
    <row r="22" spans="1:6" ht="21.75" customHeight="1">
      <c r="A22" s="422">
        <f t="shared" si="0"/>
        <v>15</v>
      </c>
      <c r="B22" s="394" t="s">
        <v>722</v>
      </c>
      <c r="C22" s="393" t="s">
        <v>711</v>
      </c>
      <c r="D22" s="395">
        <v>18</v>
      </c>
      <c r="E22" s="396"/>
      <c r="F22" s="396"/>
    </row>
    <row r="23" spans="1:6" ht="21.75" customHeight="1">
      <c r="A23" s="422">
        <f t="shared" si="0"/>
        <v>16</v>
      </c>
      <c r="B23" s="394" t="s">
        <v>723</v>
      </c>
      <c r="C23" s="393" t="s">
        <v>51</v>
      </c>
      <c r="D23" s="395">
        <v>1</v>
      </c>
      <c r="E23" s="396"/>
      <c r="F23" s="396"/>
    </row>
    <row r="24" spans="1:6" ht="21.75" customHeight="1">
      <c r="A24" s="422">
        <f t="shared" si="0"/>
        <v>17</v>
      </c>
      <c r="B24" s="394" t="s">
        <v>724</v>
      </c>
      <c r="C24" s="393" t="s">
        <v>51</v>
      </c>
      <c r="D24" s="395">
        <v>75</v>
      </c>
      <c r="E24" s="396"/>
      <c r="F24" s="396"/>
    </row>
    <row r="25" spans="1:6" ht="21.75" customHeight="1">
      <c r="A25" s="422">
        <f t="shared" si="0"/>
        <v>18</v>
      </c>
      <c r="B25" s="394" t="s">
        <v>725</v>
      </c>
      <c r="C25" s="393" t="s">
        <v>51</v>
      </c>
      <c r="D25" s="395">
        <v>30</v>
      </c>
      <c r="E25" s="396"/>
      <c r="F25" s="396"/>
    </row>
    <row r="26" spans="1:6" ht="21.75" customHeight="1">
      <c r="A26" s="422">
        <f t="shared" si="0"/>
        <v>19</v>
      </c>
      <c r="B26" s="394" t="s">
        <v>726</v>
      </c>
      <c r="C26" s="393" t="s">
        <v>711</v>
      </c>
      <c r="D26" s="395">
        <v>45</v>
      </c>
      <c r="E26" s="396"/>
      <c r="F26" s="396"/>
    </row>
    <row r="27" spans="1:6" ht="21.75" customHeight="1">
      <c r="A27" s="422">
        <f t="shared" si="0"/>
        <v>20</v>
      </c>
      <c r="B27" s="394" t="s">
        <v>727</v>
      </c>
      <c r="C27" s="393" t="s">
        <v>711</v>
      </c>
      <c r="D27" s="395">
        <v>18</v>
      </c>
      <c r="E27" s="396"/>
      <c r="F27" s="396"/>
    </row>
    <row r="28" spans="1:6" ht="21.75" customHeight="1">
      <c r="A28" s="422">
        <f t="shared" si="0"/>
        <v>21</v>
      </c>
      <c r="B28" s="394" t="s">
        <v>728</v>
      </c>
      <c r="C28" s="393" t="s">
        <v>51</v>
      </c>
      <c r="D28" s="395">
        <v>3</v>
      </c>
      <c r="E28" s="396"/>
      <c r="F28" s="396"/>
    </row>
    <row r="29" spans="1:6" ht="21.75" customHeight="1">
      <c r="A29" s="422">
        <f t="shared" si="0"/>
        <v>22</v>
      </c>
      <c r="B29" s="394" t="s">
        <v>729</v>
      </c>
      <c r="C29" s="393" t="s">
        <v>51</v>
      </c>
      <c r="D29" s="395">
        <v>4</v>
      </c>
      <c r="E29" s="396"/>
      <c r="F29" s="396"/>
    </row>
    <row r="30" spans="1:6" ht="21.75" customHeight="1">
      <c r="A30" s="422">
        <f t="shared" si="0"/>
        <v>23</v>
      </c>
      <c r="B30" s="394" t="s">
        <v>730</v>
      </c>
      <c r="C30" s="393" t="s">
        <v>51</v>
      </c>
      <c r="D30" s="395">
        <v>20</v>
      </c>
      <c r="E30" s="396"/>
      <c r="F30" s="396"/>
    </row>
    <row r="31" spans="1:6" ht="21.75" customHeight="1">
      <c r="A31" s="422">
        <f t="shared" si="0"/>
        <v>24</v>
      </c>
      <c r="B31" s="394" t="s">
        <v>731</v>
      </c>
      <c r="C31" s="393" t="s">
        <v>51</v>
      </c>
      <c r="D31" s="395">
        <v>30</v>
      </c>
      <c r="E31" s="396"/>
      <c r="F31" s="396"/>
    </row>
    <row r="32" spans="1:6" ht="21.75" customHeight="1">
      <c r="A32" s="422">
        <f t="shared" si="0"/>
        <v>25</v>
      </c>
      <c r="B32" s="394" t="s">
        <v>732</v>
      </c>
      <c r="C32" s="393" t="s">
        <v>51</v>
      </c>
      <c r="D32" s="395">
        <v>30</v>
      </c>
      <c r="E32" s="396"/>
      <c r="F32" s="396"/>
    </row>
    <row r="33" spans="1:6" ht="21.75" customHeight="1">
      <c r="A33" s="422">
        <f t="shared" si="0"/>
        <v>26</v>
      </c>
      <c r="B33" s="394" t="s">
        <v>733</v>
      </c>
      <c r="C33" s="393" t="s">
        <v>51</v>
      </c>
      <c r="D33" s="395">
        <v>4</v>
      </c>
      <c r="E33" s="396"/>
      <c r="F33" s="396"/>
    </row>
    <row r="34" spans="1:6" ht="21.75" customHeight="1">
      <c r="A34" s="422">
        <f t="shared" si="0"/>
        <v>27</v>
      </c>
      <c r="B34" s="394" t="s">
        <v>734</v>
      </c>
      <c r="C34" s="393" t="s">
        <v>51</v>
      </c>
      <c r="D34" s="395">
        <v>5</v>
      </c>
      <c r="E34" s="396"/>
      <c r="F34" s="396"/>
    </row>
    <row r="35" spans="1:6" ht="21.75" customHeight="1">
      <c r="A35" s="422">
        <f t="shared" si="0"/>
        <v>28</v>
      </c>
      <c r="B35" s="394" t="s">
        <v>735</v>
      </c>
      <c r="C35" s="393" t="s">
        <v>51</v>
      </c>
      <c r="D35" s="395">
        <v>10</v>
      </c>
      <c r="E35" s="396"/>
      <c r="F35" s="396"/>
    </row>
    <row r="36" spans="1:6" ht="21.75" customHeight="1">
      <c r="A36" s="422">
        <f t="shared" si="0"/>
        <v>29</v>
      </c>
      <c r="B36" s="394" t="s">
        <v>736</v>
      </c>
      <c r="C36" s="393" t="s">
        <v>51</v>
      </c>
      <c r="D36" s="395">
        <v>10</v>
      </c>
      <c r="E36" s="396"/>
      <c r="F36" s="396"/>
    </row>
    <row r="37" spans="1:6" ht="21.75" customHeight="1">
      <c r="A37" s="422">
        <f t="shared" si="0"/>
        <v>30</v>
      </c>
      <c r="B37" s="394" t="s">
        <v>737</v>
      </c>
      <c r="C37" s="393" t="s">
        <v>51</v>
      </c>
      <c r="D37" s="395">
        <v>2</v>
      </c>
      <c r="E37" s="396"/>
      <c r="F37" s="396"/>
    </row>
    <row r="38" spans="1:6" ht="21.75" customHeight="1">
      <c r="A38" s="422">
        <f t="shared" si="0"/>
        <v>31</v>
      </c>
      <c r="B38" s="394" t="s">
        <v>738</v>
      </c>
      <c r="C38" s="393" t="s">
        <v>51</v>
      </c>
      <c r="D38" s="395">
        <v>4</v>
      </c>
      <c r="E38" s="396"/>
      <c r="F38" s="396"/>
    </row>
    <row r="39" spans="1:6" ht="21.75" customHeight="1">
      <c r="A39" s="422">
        <f t="shared" si="0"/>
        <v>32</v>
      </c>
      <c r="B39" s="394" t="s">
        <v>739</v>
      </c>
      <c r="C39" s="393" t="s">
        <v>51</v>
      </c>
      <c r="D39" s="395">
        <v>15</v>
      </c>
      <c r="E39" s="396"/>
      <c r="F39" s="396"/>
    </row>
    <row r="40" spans="1:6" ht="21.75" customHeight="1">
      <c r="A40" s="422">
        <f t="shared" si="0"/>
        <v>33</v>
      </c>
      <c r="B40" s="394" t="s">
        <v>740</v>
      </c>
      <c r="C40" s="393" t="s">
        <v>51</v>
      </c>
      <c r="D40" s="395">
        <v>10</v>
      </c>
      <c r="E40" s="396"/>
      <c r="F40" s="396"/>
    </row>
    <row r="41" spans="1:6" ht="21.75" customHeight="1">
      <c r="A41" s="422">
        <f t="shared" si="0"/>
        <v>34</v>
      </c>
      <c r="B41" s="394" t="s">
        <v>741</v>
      </c>
      <c r="C41" s="393" t="s">
        <v>51</v>
      </c>
      <c r="D41" s="395">
        <v>15</v>
      </c>
      <c r="E41" s="396"/>
      <c r="F41" s="396"/>
    </row>
    <row r="42" spans="1:6" ht="21.75" customHeight="1">
      <c r="A42" s="422">
        <f t="shared" si="0"/>
        <v>35</v>
      </c>
      <c r="B42" s="394" t="s">
        <v>742</v>
      </c>
      <c r="C42" s="393" t="s">
        <v>51</v>
      </c>
      <c r="D42" s="395">
        <v>4</v>
      </c>
      <c r="E42" s="396"/>
      <c r="F42" s="396"/>
    </row>
    <row r="43" spans="1:6" ht="21.75" customHeight="1">
      <c r="A43" s="422">
        <f t="shared" si="0"/>
        <v>36</v>
      </c>
      <c r="B43" s="394" t="s">
        <v>743</v>
      </c>
      <c r="C43" s="393" t="s">
        <v>51</v>
      </c>
      <c r="D43" s="395">
        <v>10</v>
      </c>
      <c r="E43" s="396"/>
      <c r="F43" s="396"/>
    </row>
    <row r="44" spans="1:6" ht="21.75" customHeight="1">
      <c r="A44" s="422">
        <f t="shared" si="0"/>
        <v>37</v>
      </c>
      <c r="B44" s="394" t="s">
        <v>744</v>
      </c>
      <c r="C44" s="393" t="s">
        <v>51</v>
      </c>
      <c r="D44" s="395">
        <v>10</v>
      </c>
      <c r="E44" s="396"/>
      <c r="F44" s="396"/>
    </row>
    <row r="45" spans="1:6" ht="21.75" customHeight="1">
      <c r="A45" s="422">
        <f t="shared" si="0"/>
        <v>38</v>
      </c>
      <c r="B45" s="394" t="s">
        <v>745</v>
      </c>
      <c r="C45" s="393" t="s">
        <v>51</v>
      </c>
      <c r="D45" s="395">
        <v>20</v>
      </c>
      <c r="E45" s="396"/>
      <c r="F45" s="396"/>
    </row>
    <row r="46" spans="1:6" ht="21.75" customHeight="1">
      <c r="A46" s="422">
        <f t="shared" si="0"/>
        <v>39</v>
      </c>
      <c r="B46" s="394" t="s">
        <v>746</v>
      </c>
      <c r="C46" s="393" t="s">
        <v>51</v>
      </c>
      <c r="D46" s="395">
        <v>15</v>
      </c>
      <c r="E46" s="396"/>
      <c r="F46" s="396"/>
    </row>
    <row r="47" spans="1:6" ht="21.75" customHeight="1">
      <c r="A47" s="422">
        <f t="shared" si="0"/>
        <v>40</v>
      </c>
      <c r="B47" s="394" t="s">
        <v>747</v>
      </c>
      <c r="C47" s="393" t="s">
        <v>51</v>
      </c>
      <c r="D47" s="395">
        <v>12</v>
      </c>
      <c r="E47" s="396"/>
      <c r="F47" s="396"/>
    </row>
    <row r="48" spans="1:6" ht="21.75" customHeight="1">
      <c r="A48" s="422">
        <f t="shared" si="0"/>
        <v>41</v>
      </c>
      <c r="B48" s="394" t="s">
        <v>748</v>
      </c>
      <c r="C48" s="393" t="s">
        <v>51</v>
      </c>
      <c r="D48" s="395">
        <v>30</v>
      </c>
      <c r="E48" s="396"/>
      <c r="F48" s="396"/>
    </row>
    <row r="49" spans="1:6" ht="21.75" customHeight="1">
      <c r="A49" s="422">
        <f t="shared" si="0"/>
        <v>42</v>
      </c>
      <c r="B49" s="394" t="s">
        <v>749</v>
      </c>
      <c r="C49" s="393" t="s">
        <v>51</v>
      </c>
      <c r="D49" s="395">
        <v>24</v>
      </c>
      <c r="E49" s="396"/>
      <c r="F49" s="396"/>
    </row>
    <row r="50" spans="1:6" ht="21.75" customHeight="1">
      <c r="A50" s="422">
        <f t="shared" si="0"/>
        <v>43</v>
      </c>
      <c r="B50" s="394" t="s">
        <v>750</v>
      </c>
      <c r="C50" s="393" t="s">
        <v>51</v>
      </c>
      <c r="D50" s="395">
        <v>5</v>
      </c>
      <c r="E50" s="396"/>
      <c r="F50" s="396"/>
    </row>
    <row r="51" spans="1:6" ht="21.75" customHeight="1">
      <c r="A51" s="422">
        <f t="shared" si="0"/>
        <v>44</v>
      </c>
      <c r="B51" s="394" t="s">
        <v>751</v>
      </c>
      <c r="C51" s="393" t="s">
        <v>51</v>
      </c>
      <c r="D51" s="395">
        <v>15</v>
      </c>
      <c r="E51" s="396"/>
      <c r="F51" s="396"/>
    </row>
    <row r="52" spans="1:6" ht="21.75" customHeight="1">
      <c r="A52" s="422">
        <f t="shared" si="0"/>
        <v>45</v>
      </c>
      <c r="B52" s="394" t="s">
        <v>752</v>
      </c>
      <c r="C52" s="393" t="s">
        <v>51</v>
      </c>
      <c r="D52" s="395">
        <v>12</v>
      </c>
      <c r="E52" s="396"/>
      <c r="F52" s="396"/>
    </row>
    <row r="53" spans="1:6" ht="21.75" customHeight="1">
      <c r="A53" s="422">
        <f t="shared" si="0"/>
        <v>46</v>
      </c>
      <c r="B53" s="394" t="s">
        <v>753</v>
      </c>
      <c r="C53" s="393" t="s">
        <v>51</v>
      </c>
      <c r="D53" s="395">
        <v>15</v>
      </c>
      <c r="E53" s="396"/>
      <c r="F53" s="396"/>
    </row>
    <row r="54" spans="1:6" ht="21.75" customHeight="1">
      <c r="A54" s="422">
        <f t="shared" si="0"/>
        <v>47</v>
      </c>
      <c r="B54" s="394" t="s">
        <v>754</v>
      </c>
      <c r="C54" s="393" t="s">
        <v>51</v>
      </c>
      <c r="D54" s="395">
        <v>15</v>
      </c>
      <c r="E54" s="396"/>
      <c r="F54" s="396"/>
    </row>
    <row r="55" spans="1:6" ht="21.75" customHeight="1">
      <c r="A55" s="422">
        <f t="shared" si="0"/>
        <v>48</v>
      </c>
      <c r="B55" s="394" t="s">
        <v>755</v>
      </c>
      <c r="C55" s="393" t="s">
        <v>51</v>
      </c>
      <c r="D55" s="395">
        <v>10</v>
      </c>
      <c r="E55" s="396"/>
      <c r="F55" s="396"/>
    </row>
    <row r="56" spans="1:6" ht="21.75" customHeight="1">
      <c r="A56" s="422">
        <f t="shared" si="0"/>
        <v>49</v>
      </c>
      <c r="B56" s="394" t="s">
        <v>756</v>
      </c>
      <c r="C56" s="393" t="s">
        <v>51</v>
      </c>
      <c r="D56" s="395">
        <v>2</v>
      </c>
      <c r="E56" s="396"/>
      <c r="F56" s="396"/>
    </row>
    <row r="57" spans="1:6" ht="21.75" customHeight="1">
      <c r="A57" s="422">
        <f t="shared" si="0"/>
        <v>50</v>
      </c>
      <c r="B57" s="394" t="s">
        <v>757</v>
      </c>
      <c r="C57" s="393" t="s">
        <v>51</v>
      </c>
      <c r="D57" s="395">
        <v>4</v>
      </c>
      <c r="E57" s="396"/>
      <c r="F57" s="396"/>
    </row>
    <row r="58" spans="1:6" ht="21.75" customHeight="1">
      <c r="A58" s="422">
        <f t="shared" si="0"/>
        <v>51</v>
      </c>
      <c r="B58" s="394" t="s">
        <v>758</v>
      </c>
      <c r="C58" s="393" t="s">
        <v>51</v>
      </c>
      <c r="D58" s="395">
        <v>5</v>
      </c>
      <c r="E58" s="396"/>
      <c r="F58" s="396"/>
    </row>
    <row r="59" spans="1:6" ht="21.75" customHeight="1">
      <c r="A59" s="422">
        <f t="shared" si="0"/>
        <v>52</v>
      </c>
      <c r="B59" s="394" t="s">
        <v>759</v>
      </c>
      <c r="C59" s="393" t="s">
        <v>51</v>
      </c>
      <c r="D59" s="395">
        <v>8</v>
      </c>
      <c r="E59" s="396"/>
      <c r="F59" s="396"/>
    </row>
    <row r="60" spans="1:6" ht="21.75" customHeight="1">
      <c r="A60" s="422">
        <f t="shared" si="0"/>
        <v>53</v>
      </c>
      <c r="B60" s="394" t="s">
        <v>760</v>
      </c>
      <c r="C60" s="393" t="s">
        <v>51</v>
      </c>
      <c r="D60" s="395">
        <v>5</v>
      </c>
      <c r="E60" s="396"/>
      <c r="F60" s="396"/>
    </row>
    <row r="61" spans="1:6" ht="21.75" customHeight="1">
      <c r="A61" s="422">
        <f t="shared" si="0"/>
        <v>54</v>
      </c>
      <c r="B61" s="394" t="s">
        <v>761</v>
      </c>
      <c r="C61" s="393" t="s">
        <v>51</v>
      </c>
      <c r="D61" s="395">
        <v>2</v>
      </c>
      <c r="E61" s="396"/>
      <c r="F61" s="396"/>
    </row>
    <row r="62" spans="1:6" ht="21.75" customHeight="1">
      <c r="A62" s="422">
        <f t="shared" si="0"/>
        <v>55</v>
      </c>
      <c r="B62" s="394" t="s">
        <v>762</v>
      </c>
      <c r="C62" s="393" t="s">
        <v>51</v>
      </c>
      <c r="D62" s="395">
        <v>8</v>
      </c>
      <c r="E62" s="396"/>
      <c r="F62" s="396"/>
    </row>
    <row r="63" spans="1:6" ht="21.75" customHeight="1">
      <c r="A63" s="422">
        <f t="shared" si="0"/>
        <v>56</v>
      </c>
      <c r="B63" s="394" t="s">
        <v>763</v>
      </c>
      <c r="C63" s="393" t="s">
        <v>51</v>
      </c>
      <c r="D63" s="395">
        <v>16</v>
      </c>
      <c r="E63" s="396"/>
      <c r="F63" s="396"/>
    </row>
    <row r="64" spans="1:6" ht="21.75" customHeight="1">
      <c r="A64" s="422">
        <f t="shared" si="0"/>
        <v>57</v>
      </c>
      <c r="B64" s="394" t="s">
        <v>764</v>
      </c>
      <c r="C64" s="393" t="s">
        <v>51</v>
      </c>
      <c r="D64" s="395">
        <v>4</v>
      </c>
      <c r="E64" s="396"/>
      <c r="F64" s="396"/>
    </row>
    <row r="65" spans="1:6" ht="21.75" customHeight="1">
      <c r="A65" s="422">
        <f t="shared" si="0"/>
        <v>58</v>
      </c>
      <c r="B65" s="394" t="s">
        <v>765</v>
      </c>
      <c r="C65" s="393" t="s">
        <v>51</v>
      </c>
      <c r="D65" s="395">
        <v>2</v>
      </c>
      <c r="E65" s="396"/>
      <c r="F65" s="396"/>
    </row>
    <row r="66" spans="1:6" ht="21.75" customHeight="1">
      <c r="A66" s="422">
        <f t="shared" si="0"/>
        <v>59</v>
      </c>
      <c r="B66" s="394" t="s">
        <v>766</v>
      </c>
      <c r="C66" s="393" t="s">
        <v>51</v>
      </c>
      <c r="D66" s="395">
        <v>1</v>
      </c>
      <c r="E66" s="396"/>
      <c r="F66" s="396"/>
    </row>
    <row r="67" spans="1:6" ht="21.75" customHeight="1">
      <c r="A67" s="422">
        <f t="shared" si="0"/>
        <v>60</v>
      </c>
      <c r="B67" s="394" t="s">
        <v>767</v>
      </c>
      <c r="C67" s="393" t="s">
        <v>51</v>
      </c>
      <c r="D67" s="395">
        <v>2</v>
      </c>
      <c r="E67" s="396"/>
      <c r="F67" s="396"/>
    </row>
    <row r="68" spans="1:6" ht="21.75" customHeight="1">
      <c r="A68" s="422">
        <f t="shared" si="0"/>
        <v>61</v>
      </c>
      <c r="B68" s="394" t="s">
        <v>768</v>
      </c>
      <c r="C68" s="393" t="s">
        <v>711</v>
      </c>
      <c r="D68" s="395">
        <v>2.5</v>
      </c>
      <c r="E68" s="396"/>
      <c r="F68" s="396"/>
    </row>
    <row r="69" spans="1:6" ht="21.75" customHeight="1">
      <c r="A69" s="422">
        <f t="shared" si="0"/>
        <v>62</v>
      </c>
      <c r="B69" s="394" t="s">
        <v>769</v>
      </c>
      <c r="C69" s="393" t="s">
        <v>51</v>
      </c>
      <c r="D69" s="395">
        <v>3</v>
      </c>
      <c r="E69" s="396"/>
      <c r="F69" s="396"/>
    </row>
    <row r="70" spans="1:6" ht="21.75" customHeight="1">
      <c r="A70" s="422">
        <f t="shared" si="0"/>
        <v>63</v>
      </c>
      <c r="B70" s="394" t="s">
        <v>770</v>
      </c>
      <c r="C70" s="393" t="s">
        <v>771</v>
      </c>
      <c r="D70" s="395">
        <v>3</v>
      </c>
      <c r="E70" s="396"/>
      <c r="F70" s="396"/>
    </row>
    <row r="71" spans="1:6" ht="21.75" customHeight="1">
      <c r="A71" s="422">
        <f t="shared" si="0"/>
        <v>64</v>
      </c>
      <c r="B71" s="394" t="s">
        <v>772</v>
      </c>
      <c r="C71" s="393" t="s">
        <v>771</v>
      </c>
      <c r="D71" s="395">
        <v>3</v>
      </c>
      <c r="E71" s="396"/>
      <c r="F71" s="396"/>
    </row>
    <row r="72" spans="1:6" ht="21.75" customHeight="1">
      <c r="A72" s="422">
        <f t="shared" si="0"/>
        <v>65</v>
      </c>
      <c r="B72" s="394" t="s">
        <v>773</v>
      </c>
      <c r="C72" s="393" t="s">
        <v>51</v>
      </c>
      <c r="D72" s="395">
        <v>5</v>
      </c>
      <c r="E72" s="396"/>
      <c r="F72" s="396"/>
    </row>
    <row r="73" spans="1:6" ht="21.75" customHeight="1">
      <c r="A73" s="422">
        <f t="shared" si="0"/>
        <v>66</v>
      </c>
      <c r="B73" s="394" t="s">
        <v>774</v>
      </c>
      <c r="C73" s="393" t="s">
        <v>771</v>
      </c>
      <c r="D73" s="395">
        <v>5</v>
      </c>
      <c r="E73" s="396"/>
      <c r="F73" s="396"/>
    </row>
    <row r="74" spans="1:6" ht="21.75" customHeight="1">
      <c r="A74" s="422">
        <f t="shared" si="0"/>
        <v>67</v>
      </c>
      <c r="B74" s="394" t="s">
        <v>775</v>
      </c>
      <c r="C74" s="393" t="s">
        <v>771</v>
      </c>
      <c r="D74" s="395">
        <v>5</v>
      </c>
      <c r="E74" s="396"/>
      <c r="F74" s="396"/>
    </row>
    <row r="75" spans="1:6" ht="21.75" customHeight="1">
      <c r="A75" s="422">
        <f t="shared" ref="A75:A112" si="1">A74+1</f>
        <v>68</v>
      </c>
      <c r="B75" s="394" t="s">
        <v>776</v>
      </c>
      <c r="C75" s="393" t="s">
        <v>51</v>
      </c>
      <c r="D75" s="395">
        <v>2</v>
      </c>
      <c r="E75" s="396"/>
      <c r="F75" s="396"/>
    </row>
    <row r="76" spans="1:6" ht="21.75" customHeight="1">
      <c r="A76" s="422">
        <f t="shared" si="1"/>
        <v>69</v>
      </c>
      <c r="B76" s="394" t="s">
        <v>777</v>
      </c>
      <c r="C76" s="393" t="s">
        <v>771</v>
      </c>
      <c r="D76" s="395">
        <v>2</v>
      </c>
      <c r="E76" s="396"/>
      <c r="F76" s="396"/>
    </row>
    <row r="77" spans="1:6" ht="21.75" customHeight="1">
      <c r="A77" s="422">
        <f t="shared" si="1"/>
        <v>70</v>
      </c>
      <c r="B77" s="394" t="s">
        <v>778</v>
      </c>
      <c r="C77" s="393" t="s">
        <v>771</v>
      </c>
      <c r="D77" s="395">
        <v>2</v>
      </c>
      <c r="E77" s="396"/>
      <c r="F77" s="396"/>
    </row>
    <row r="78" spans="1:6" ht="21.75" customHeight="1">
      <c r="A78" s="422">
        <f t="shared" si="1"/>
        <v>71</v>
      </c>
      <c r="B78" s="394" t="s">
        <v>779</v>
      </c>
      <c r="C78" s="393" t="s">
        <v>51</v>
      </c>
      <c r="D78" s="395">
        <v>5</v>
      </c>
      <c r="E78" s="396"/>
      <c r="F78" s="396"/>
    </row>
    <row r="79" spans="1:6" ht="21.75" customHeight="1">
      <c r="A79" s="422">
        <f t="shared" si="1"/>
        <v>72</v>
      </c>
      <c r="B79" s="394" t="s">
        <v>780</v>
      </c>
      <c r="C79" s="393" t="s">
        <v>771</v>
      </c>
      <c r="D79" s="395">
        <v>5</v>
      </c>
      <c r="E79" s="396"/>
      <c r="F79" s="396"/>
    </row>
    <row r="80" spans="1:6" ht="21.75" customHeight="1">
      <c r="A80" s="422">
        <f t="shared" si="1"/>
        <v>73</v>
      </c>
      <c r="B80" s="394" t="s">
        <v>781</v>
      </c>
      <c r="C80" s="393" t="s">
        <v>51</v>
      </c>
      <c r="D80" s="395">
        <v>2</v>
      </c>
      <c r="E80" s="396"/>
      <c r="F80" s="396"/>
    </row>
    <row r="81" spans="1:6" ht="21.75" customHeight="1">
      <c r="A81" s="422">
        <f t="shared" si="1"/>
        <v>74</v>
      </c>
      <c r="B81" s="394" t="s">
        <v>782</v>
      </c>
      <c r="C81" s="393" t="s">
        <v>771</v>
      </c>
      <c r="D81" s="395">
        <v>2</v>
      </c>
      <c r="E81" s="396"/>
      <c r="F81" s="396"/>
    </row>
    <row r="82" spans="1:6" ht="21.75" customHeight="1">
      <c r="A82" s="422">
        <f t="shared" si="1"/>
        <v>75</v>
      </c>
      <c r="B82" s="394" t="s">
        <v>783</v>
      </c>
      <c r="C82" s="393" t="s">
        <v>51</v>
      </c>
      <c r="D82" s="395">
        <v>7</v>
      </c>
      <c r="E82" s="396"/>
      <c r="F82" s="396"/>
    </row>
    <row r="83" spans="1:6" ht="21.75" customHeight="1">
      <c r="A83" s="422">
        <f t="shared" si="1"/>
        <v>76</v>
      </c>
      <c r="B83" s="394" t="s">
        <v>784</v>
      </c>
      <c r="C83" s="393" t="s">
        <v>51</v>
      </c>
      <c r="D83" s="395">
        <v>1</v>
      </c>
      <c r="E83" s="396"/>
      <c r="F83" s="396"/>
    </row>
    <row r="84" spans="1:6" ht="21.75" customHeight="1">
      <c r="A84" s="422">
        <f t="shared" si="1"/>
        <v>77</v>
      </c>
      <c r="B84" s="394" t="s">
        <v>785</v>
      </c>
      <c r="C84" s="393" t="s">
        <v>51</v>
      </c>
      <c r="D84" s="395">
        <v>1</v>
      </c>
      <c r="E84" s="396"/>
      <c r="F84" s="396"/>
    </row>
    <row r="85" spans="1:6" ht="21.75" customHeight="1">
      <c r="A85" s="422">
        <f t="shared" si="1"/>
        <v>78</v>
      </c>
      <c r="B85" s="394" t="s">
        <v>786</v>
      </c>
      <c r="C85" s="393" t="s">
        <v>51</v>
      </c>
      <c r="D85" s="395">
        <v>1</v>
      </c>
      <c r="E85" s="396"/>
      <c r="F85" s="396"/>
    </row>
    <row r="86" spans="1:6" ht="21.75" customHeight="1">
      <c r="A86" s="422">
        <f t="shared" si="1"/>
        <v>79</v>
      </c>
      <c r="B86" s="394" t="s">
        <v>787</v>
      </c>
      <c r="C86" s="393" t="s">
        <v>771</v>
      </c>
      <c r="D86" s="395">
        <v>1</v>
      </c>
      <c r="E86" s="396"/>
      <c r="F86" s="396"/>
    </row>
    <row r="87" spans="1:6" ht="21.75" customHeight="1">
      <c r="A87" s="422">
        <f t="shared" si="1"/>
        <v>80</v>
      </c>
      <c r="B87" s="394" t="s">
        <v>788</v>
      </c>
      <c r="C87" s="393" t="s">
        <v>51</v>
      </c>
      <c r="D87" s="395">
        <v>1</v>
      </c>
      <c r="E87" s="396"/>
      <c r="F87" s="396"/>
    </row>
    <row r="88" spans="1:6" ht="21.75" customHeight="1">
      <c r="A88" s="422">
        <f t="shared" si="1"/>
        <v>81</v>
      </c>
      <c r="B88" s="394" t="s">
        <v>789</v>
      </c>
      <c r="C88" s="393" t="s">
        <v>51</v>
      </c>
      <c r="D88" s="395">
        <v>7</v>
      </c>
      <c r="E88" s="396"/>
      <c r="F88" s="396"/>
    </row>
    <row r="89" spans="1:6" ht="21.75" customHeight="1">
      <c r="A89" s="422">
        <f t="shared" si="1"/>
        <v>82</v>
      </c>
      <c r="B89" s="394" t="s">
        <v>790</v>
      </c>
      <c r="C89" s="393" t="s">
        <v>711</v>
      </c>
      <c r="D89" s="395">
        <v>20</v>
      </c>
      <c r="E89" s="396"/>
      <c r="F89" s="396"/>
    </row>
    <row r="90" spans="1:6" ht="21.75" customHeight="1">
      <c r="A90" s="422">
        <f t="shared" si="1"/>
        <v>83</v>
      </c>
      <c r="B90" s="394" t="s">
        <v>791</v>
      </c>
      <c r="C90" s="393" t="s">
        <v>771</v>
      </c>
      <c r="D90" s="395">
        <v>1</v>
      </c>
      <c r="E90" s="396"/>
      <c r="F90" s="396"/>
    </row>
    <row r="91" spans="1:6" ht="21.75" customHeight="1">
      <c r="A91" s="422">
        <f t="shared" si="1"/>
        <v>84</v>
      </c>
      <c r="B91" s="394" t="s">
        <v>792</v>
      </c>
      <c r="C91" s="393" t="s">
        <v>771</v>
      </c>
      <c r="D91" s="395">
        <v>1</v>
      </c>
      <c r="E91" s="396"/>
      <c r="F91" s="396"/>
    </row>
    <row r="92" spans="1:6" ht="21.75" customHeight="1">
      <c r="A92" s="422">
        <f t="shared" si="1"/>
        <v>85</v>
      </c>
      <c r="B92" s="394" t="s">
        <v>793</v>
      </c>
      <c r="C92" s="393" t="s">
        <v>794</v>
      </c>
      <c r="D92" s="395">
        <v>1</v>
      </c>
      <c r="E92" s="396"/>
      <c r="F92" s="396"/>
    </row>
    <row r="93" spans="1:6" ht="21.75" customHeight="1">
      <c r="A93" s="422">
        <f t="shared" si="1"/>
        <v>86</v>
      </c>
      <c r="B93" s="394" t="s">
        <v>795</v>
      </c>
      <c r="C93" s="393" t="s">
        <v>51</v>
      </c>
      <c r="D93" s="395">
        <v>2</v>
      </c>
      <c r="E93" s="396"/>
      <c r="F93" s="396"/>
    </row>
    <row r="94" spans="1:6" ht="21.75" customHeight="1">
      <c r="A94" s="422">
        <f t="shared" si="1"/>
        <v>87</v>
      </c>
      <c r="B94" s="394" t="s">
        <v>796</v>
      </c>
      <c r="C94" s="393" t="s">
        <v>771</v>
      </c>
      <c r="D94" s="395">
        <v>2</v>
      </c>
      <c r="E94" s="396"/>
      <c r="F94" s="396"/>
    </row>
    <row r="95" spans="1:6" ht="21.75" customHeight="1">
      <c r="A95" s="422">
        <f t="shared" si="1"/>
        <v>88</v>
      </c>
      <c r="B95" s="394" t="s">
        <v>797</v>
      </c>
      <c r="C95" s="393" t="s">
        <v>771</v>
      </c>
      <c r="D95" s="395">
        <v>1</v>
      </c>
      <c r="E95" s="396"/>
      <c r="F95" s="396"/>
    </row>
    <row r="96" spans="1:6" ht="21.75" customHeight="1">
      <c r="A96" s="422">
        <f t="shared" si="1"/>
        <v>89</v>
      </c>
      <c r="B96" s="394" t="s">
        <v>798</v>
      </c>
      <c r="C96" s="393" t="s">
        <v>51</v>
      </c>
      <c r="D96" s="395">
        <v>2</v>
      </c>
      <c r="E96" s="396"/>
      <c r="F96" s="396"/>
    </row>
    <row r="97" spans="1:6" ht="21.75" customHeight="1">
      <c r="A97" s="422">
        <f t="shared" si="1"/>
        <v>90</v>
      </c>
      <c r="B97" s="394" t="s">
        <v>799</v>
      </c>
      <c r="C97" s="393" t="s">
        <v>51</v>
      </c>
      <c r="D97" s="395">
        <v>1</v>
      </c>
      <c r="E97" s="396"/>
      <c r="F97" s="396"/>
    </row>
    <row r="98" spans="1:6" ht="21.75" customHeight="1">
      <c r="A98" s="422">
        <f t="shared" si="1"/>
        <v>91</v>
      </c>
      <c r="B98" s="394" t="s">
        <v>800</v>
      </c>
      <c r="C98" s="393" t="s">
        <v>51</v>
      </c>
      <c r="D98" s="395">
        <v>1</v>
      </c>
      <c r="E98" s="396"/>
      <c r="F98" s="396"/>
    </row>
    <row r="99" spans="1:6" ht="21.75" customHeight="1">
      <c r="A99" s="422">
        <f t="shared" si="1"/>
        <v>92</v>
      </c>
      <c r="B99" s="394" t="s">
        <v>801</v>
      </c>
      <c r="C99" s="393" t="s">
        <v>771</v>
      </c>
      <c r="D99" s="395">
        <v>2</v>
      </c>
      <c r="E99" s="396"/>
      <c r="F99" s="396"/>
    </row>
    <row r="100" spans="1:6" ht="21.75" customHeight="1">
      <c r="A100" s="422">
        <f t="shared" si="1"/>
        <v>93</v>
      </c>
      <c r="B100" s="394" t="s">
        <v>802</v>
      </c>
      <c r="C100" s="393" t="s">
        <v>51</v>
      </c>
      <c r="D100" s="395">
        <v>3</v>
      </c>
      <c r="E100" s="396"/>
      <c r="F100" s="396"/>
    </row>
    <row r="101" spans="1:6" ht="21.75" customHeight="1">
      <c r="A101" s="422">
        <f t="shared" si="1"/>
        <v>94</v>
      </c>
      <c r="B101" s="394" t="s">
        <v>803</v>
      </c>
      <c r="C101" s="393" t="s">
        <v>51</v>
      </c>
      <c r="D101" s="395">
        <v>1</v>
      </c>
      <c r="E101" s="396"/>
      <c r="F101" s="396"/>
    </row>
    <row r="102" spans="1:6" ht="21.75" customHeight="1">
      <c r="A102" s="422">
        <f t="shared" si="1"/>
        <v>95</v>
      </c>
      <c r="B102" s="394" t="s">
        <v>804</v>
      </c>
      <c r="C102" s="393" t="s">
        <v>51</v>
      </c>
      <c r="D102" s="395">
        <v>1</v>
      </c>
      <c r="E102" s="396"/>
      <c r="F102" s="396"/>
    </row>
    <row r="103" spans="1:6" ht="21.75" customHeight="1">
      <c r="A103" s="422">
        <f t="shared" si="1"/>
        <v>96</v>
      </c>
      <c r="B103" s="394" t="s">
        <v>805</v>
      </c>
      <c r="C103" s="393" t="s">
        <v>51</v>
      </c>
      <c r="D103" s="395">
        <v>2</v>
      </c>
      <c r="E103" s="396"/>
      <c r="F103" s="396"/>
    </row>
    <row r="104" spans="1:6" ht="21.75" customHeight="1">
      <c r="A104" s="422">
        <f t="shared" si="1"/>
        <v>97</v>
      </c>
      <c r="B104" s="394" t="s">
        <v>806</v>
      </c>
      <c r="C104" s="393" t="s">
        <v>771</v>
      </c>
      <c r="D104" s="395">
        <v>2</v>
      </c>
      <c r="E104" s="396"/>
      <c r="F104" s="396"/>
    </row>
    <row r="105" spans="1:6" ht="21.75" customHeight="1">
      <c r="A105" s="422">
        <f t="shared" si="1"/>
        <v>98</v>
      </c>
      <c r="B105" s="394" t="s">
        <v>807</v>
      </c>
      <c r="C105" s="393" t="s">
        <v>51</v>
      </c>
      <c r="D105" s="395">
        <v>1</v>
      </c>
      <c r="E105" s="396"/>
      <c r="F105" s="396"/>
    </row>
    <row r="106" spans="1:6" ht="21.75" customHeight="1">
      <c r="A106" s="422">
        <f t="shared" si="1"/>
        <v>99</v>
      </c>
      <c r="B106" s="394" t="s">
        <v>808</v>
      </c>
      <c r="C106" s="393" t="s">
        <v>771</v>
      </c>
      <c r="D106" s="395">
        <v>1</v>
      </c>
      <c r="E106" s="396"/>
      <c r="F106" s="396"/>
    </row>
    <row r="107" spans="1:6" ht="21.75" customHeight="1">
      <c r="A107" s="422">
        <f t="shared" si="1"/>
        <v>100</v>
      </c>
      <c r="B107" s="394" t="s">
        <v>809</v>
      </c>
      <c r="C107" s="393" t="s">
        <v>771</v>
      </c>
      <c r="D107" s="395">
        <v>1</v>
      </c>
      <c r="E107" s="396"/>
      <c r="F107" s="396"/>
    </row>
    <row r="108" spans="1:6" ht="21.75" customHeight="1">
      <c r="A108" s="422">
        <f t="shared" si="1"/>
        <v>101</v>
      </c>
      <c r="B108" s="394" t="s">
        <v>810</v>
      </c>
      <c r="C108" s="393" t="s">
        <v>51</v>
      </c>
      <c r="D108" s="395">
        <v>3</v>
      </c>
      <c r="E108" s="396"/>
      <c r="F108" s="396"/>
    </row>
    <row r="109" spans="1:6" ht="21.75" customHeight="1">
      <c r="A109" s="422">
        <f t="shared" si="1"/>
        <v>102</v>
      </c>
      <c r="B109" s="394" t="s">
        <v>811</v>
      </c>
      <c r="C109" s="393" t="s">
        <v>51</v>
      </c>
      <c r="D109" s="395">
        <v>5</v>
      </c>
      <c r="E109" s="396"/>
      <c r="F109" s="396"/>
    </row>
    <row r="110" spans="1:6" ht="21.75" customHeight="1">
      <c r="A110" s="422">
        <f t="shared" si="1"/>
        <v>103</v>
      </c>
      <c r="B110" s="394" t="s">
        <v>812</v>
      </c>
      <c r="C110" s="393" t="s">
        <v>813</v>
      </c>
      <c r="D110" s="395">
        <v>1</v>
      </c>
      <c r="E110" s="396"/>
      <c r="F110" s="396"/>
    </row>
    <row r="111" spans="1:6" ht="21.75" customHeight="1">
      <c r="A111" s="422">
        <f t="shared" si="1"/>
        <v>104</v>
      </c>
      <c r="B111" s="394" t="s">
        <v>814</v>
      </c>
      <c r="C111" s="393" t="s">
        <v>771</v>
      </c>
      <c r="D111" s="395">
        <v>1</v>
      </c>
      <c r="E111" s="396"/>
      <c r="F111" s="396"/>
    </row>
    <row r="112" spans="1:6" s="398" customFormat="1" ht="22.5" customHeight="1">
      <c r="A112" s="422">
        <f t="shared" si="1"/>
        <v>105</v>
      </c>
      <c r="B112" s="401" t="s">
        <v>677</v>
      </c>
      <c r="C112" s="393" t="s">
        <v>667</v>
      </c>
      <c r="D112" s="402">
        <v>1</v>
      </c>
      <c r="E112" s="403"/>
      <c r="F112" s="396"/>
    </row>
    <row r="113" spans="1:6" s="398" customFormat="1" ht="20.25" customHeight="1">
      <c r="A113" s="404"/>
      <c r="B113" s="404" t="s">
        <v>407</v>
      </c>
      <c r="C113" s="404"/>
      <c r="D113" s="405"/>
      <c r="E113" s="406"/>
      <c r="F113" s="407">
        <f>SUM(F8:F112)</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7"/>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7" s="199" customFormat="1" ht="32.25" customHeight="1">
      <c r="A1" s="231" t="str">
        <f>'N1-5'!A1:F1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520</v>
      </c>
      <c r="B3" s="330"/>
      <c r="C3" s="330"/>
      <c r="D3" s="330"/>
      <c r="E3" s="330"/>
      <c r="F3" s="330"/>
    </row>
    <row r="4" spans="1:7" s="335" customFormat="1" ht="20.25" customHeight="1">
      <c r="A4" s="377" t="s">
        <v>815</v>
      </c>
      <c r="B4" s="377"/>
      <c r="C4" s="377"/>
      <c r="D4" s="377"/>
      <c r="E4" s="377"/>
      <c r="F4" s="377"/>
      <c r="G4" s="378"/>
    </row>
    <row r="5" spans="1:7" s="199" customFormat="1" ht="19.5" customHeight="1" thickBot="1">
      <c r="A5" s="379" t="s">
        <v>516</v>
      </c>
      <c r="B5" s="379"/>
      <c r="C5" s="379"/>
      <c r="D5" s="379"/>
      <c r="E5" s="379"/>
      <c r="F5" s="379"/>
      <c r="G5" s="380"/>
    </row>
    <row r="6" spans="1:7" ht="87.6" customHeight="1">
      <c r="A6" s="381" t="s">
        <v>523</v>
      </c>
      <c r="B6" s="382" t="s">
        <v>524</v>
      </c>
      <c r="C6" s="383" t="s">
        <v>525</v>
      </c>
      <c r="D6" s="384" t="s">
        <v>411</v>
      </c>
      <c r="E6" s="385" t="s">
        <v>526</v>
      </c>
      <c r="F6" s="386" t="s">
        <v>527</v>
      </c>
    </row>
    <row r="7" spans="1:7">
      <c r="A7" s="411">
        <v>1</v>
      </c>
      <c r="B7" s="411">
        <v>2</v>
      </c>
      <c r="C7" s="412">
        <v>3</v>
      </c>
      <c r="D7" s="413" t="s">
        <v>488</v>
      </c>
      <c r="E7" s="414" t="s">
        <v>513</v>
      </c>
      <c r="F7" s="413" t="s">
        <v>515</v>
      </c>
    </row>
    <row r="8" spans="1:7" s="397" customFormat="1" ht="18.75" customHeight="1">
      <c r="A8" s="393" t="s">
        <v>5</v>
      </c>
      <c r="B8" s="394" t="s">
        <v>816</v>
      </c>
      <c r="C8" s="393" t="s">
        <v>667</v>
      </c>
      <c r="D8" s="395">
        <v>1</v>
      </c>
      <c r="E8" s="396"/>
      <c r="F8" s="396"/>
    </row>
    <row r="9" spans="1:7" s="397" customFormat="1" ht="18.75" customHeight="1">
      <c r="A9" s="393" t="s">
        <v>7</v>
      </c>
      <c r="B9" s="394" t="s">
        <v>676</v>
      </c>
      <c r="C9" s="393" t="s">
        <v>667</v>
      </c>
      <c r="D9" s="395">
        <v>1</v>
      </c>
      <c r="E9" s="396"/>
      <c r="F9" s="396"/>
    </row>
    <row r="10" spans="1:7" s="398" customFormat="1" ht="18.75" customHeight="1">
      <c r="A10" s="393" t="s">
        <v>487</v>
      </c>
      <c r="B10" s="394" t="s">
        <v>817</v>
      </c>
      <c r="C10" s="393" t="s">
        <v>667</v>
      </c>
      <c r="D10" s="395">
        <v>10</v>
      </c>
      <c r="E10" s="396"/>
      <c r="F10" s="396"/>
    </row>
    <row r="11" spans="1:7" s="397" customFormat="1" ht="42" customHeight="1">
      <c r="A11" s="422">
        <f t="shared" ref="A11:A26" si="0">A10+1</f>
        <v>4</v>
      </c>
      <c r="B11" s="394" t="s">
        <v>818</v>
      </c>
      <c r="C11" s="393" t="s">
        <v>667</v>
      </c>
      <c r="D11" s="395">
        <v>10</v>
      </c>
      <c r="E11" s="396"/>
      <c r="F11" s="396"/>
    </row>
    <row r="12" spans="1:7" s="397" customFormat="1" ht="31.5" customHeight="1">
      <c r="A12" s="422">
        <f t="shared" si="0"/>
        <v>5</v>
      </c>
      <c r="B12" s="394" t="s">
        <v>819</v>
      </c>
      <c r="C12" s="393" t="s">
        <v>667</v>
      </c>
      <c r="D12" s="395">
        <v>1</v>
      </c>
      <c r="E12" s="396"/>
      <c r="F12" s="396"/>
    </row>
    <row r="13" spans="1:7" s="398" customFormat="1" ht="31.5" customHeight="1">
      <c r="A13" s="422">
        <f t="shared" si="0"/>
        <v>6</v>
      </c>
      <c r="B13" s="394" t="s">
        <v>820</v>
      </c>
      <c r="C13" s="393" t="s">
        <v>667</v>
      </c>
      <c r="D13" s="395">
        <v>1</v>
      </c>
      <c r="E13" s="396"/>
      <c r="F13" s="396"/>
    </row>
    <row r="14" spans="1:7" s="397" customFormat="1" ht="31.5" customHeight="1">
      <c r="A14" s="422">
        <f t="shared" si="0"/>
        <v>7</v>
      </c>
      <c r="B14" s="394" t="s">
        <v>821</v>
      </c>
      <c r="C14" s="393" t="s">
        <v>667</v>
      </c>
      <c r="D14" s="395">
        <v>2</v>
      </c>
      <c r="E14" s="396"/>
      <c r="F14" s="396"/>
    </row>
    <row r="15" spans="1:7" s="398" customFormat="1" ht="31.5" customHeight="1">
      <c r="A15" s="422">
        <f t="shared" si="0"/>
        <v>8</v>
      </c>
      <c r="B15" s="394" t="s">
        <v>822</v>
      </c>
      <c r="C15" s="393" t="s">
        <v>667</v>
      </c>
      <c r="D15" s="395">
        <v>5</v>
      </c>
      <c r="E15" s="396"/>
      <c r="F15" s="396"/>
    </row>
    <row r="16" spans="1:7" s="398" customFormat="1" ht="31.5" customHeight="1">
      <c r="A16" s="422">
        <f t="shared" si="0"/>
        <v>9</v>
      </c>
      <c r="B16" s="394" t="s">
        <v>823</v>
      </c>
      <c r="C16" s="393" t="s">
        <v>824</v>
      </c>
      <c r="D16" s="395">
        <v>100</v>
      </c>
      <c r="E16" s="396"/>
      <c r="F16" s="396"/>
      <c r="G16" s="399"/>
    </row>
    <row r="17" spans="1:6" s="398" customFormat="1" ht="31.5" customHeight="1">
      <c r="A17" s="422">
        <f t="shared" si="0"/>
        <v>10</v>
      </c>
      <c r="B17" s="394" t="s">
        <v>825</v>
      </c>
      <c r="C17" s="393" t="s">
        <v>824</v>
      </c>
      <c r="D17" s="395">
        <v>40</v>
      </c>
      <c r="E17" s="396"/>
      <c r="F17" s="396"/>
    </row>
    <row r="18" spans="1:6" s="398" customFormat="1" ht="21.75" customHeight="1">
      <c r="A18" s="422">
        <f t="shared" si="0"/>
        <v>11</v>
      </c>
      <c r="B18" s="394" t="s">
        <v>826</v>
      </c>
      <c r="C18" s="393"/>
      <c r="D18" s="395">
        <v>2</v>
      </c>
      <c r="E18" s="396"/>
      <c r="F18" s="396"/>
    </row>
    <row r="19" spans="1:6" ht="21.75" customHeight="1">
      <c r="A19" s="422">
        <f t="shared" si="0"/>
        <v>12</v>
      </c>
      <c r="B19" s="394" t="s">
        <v>827</v>
      </c>
      <c r="C19" s="393" t="s">
        <v>667</v>
      </c>
      <c r="D19" s="395">
        <v>1</v>
      </c>
      <c r="E19" s="396"/>
      <c r="F19" s="396"/>
    </row>
    <row r="20" spans="1:6" ht="21.75" customHeight="1">
      <c r="A20" s="422">
        <f t="shared" si="0"/>
        <v>13</v>
      </c>
      <c r="B20" s="394" t="s">
        <v>828</v>
      </c>
      <c r="C20" s="393" t="s">
        <v>667</v>
      </c>
      <c r="D20" s="395">
        <v>1</v>
      </c>
      <c r="E20" s="396"/>
      <c r="F20" s="396"/>
    </row>
    <row r="21" spans="1:6" ht="33" customHeight="1">
      <c r="A21" s="422">
        <f t="shared" si="0"/>
        <v>14</v>
      </c>
      <c r="B21" s="394" t="s">
        <v>829</v>
      </c>
      <c r="C21" s="393" t="s">
        <v>674</v>
      </c>
      <c r="D21" s="395">
        <v>1</v>
      </c>
      <c r="E21" s="396"/>
      <c r="F21" s="396"/>
    </row>
    <row r="22" spans="1:6" ht="33" customHeight="1">
      <c r="A22" s="422">
        <f t="shared" si="0"/>
        <v>15</v>
      </c>
      <c r="B22" s="394" t="s">
        <v>830</v>
      </c>
      <c r="C22" s="393" t="s">
        <v>674</v>
      </c>
      <c r="D22" s="395">
        <v>1</v>
      </c>
      <c r="E22" s="396"/>
      <c r="F22" s="396"/>
    </row>
    <row r="23" spans="1:6" ht="33" customHeight="1">
      <c r="A23" s="422">
        <f t="shared" si="0"/>
        <v>16</v>
      </c>
      <c r="B23" s="394" t="s">
        <v>831</v>
      </c>
      <c r="C23" s="393" t="s">
        <v>674</v>
      </c>
      <c r="D23" s="395">
        <v>1</v>
      </c>
      <c r="E23" s="396"/>
      <c r="F23" s="396"/>
    </row>
    <row r="24" spans="1:6" ht="21.75" customHeight="1">
      <c r="A24" s="422">
        <f t="shared" si="0"/>
        <v>17</v>
      </c>
      <c r="B24" s="394" t="s">
        <v>832</v>
      </c>
      <c r="C24" s="393" t="s">
        <v>674</v>
      </c>
      <c r="D24" s="395">
        <v>30</v>
      </c>
      <c r="E24" s="396"/>
      <c r="F24" s="396"/>
    </row>
    <row r="25" spans="1:6" ht="21.75" customHeight="1">
      <c r="A25" s="422">
        <f t="shared" si="0"/>
        <v>18</v>
      </c>
      <c r="B25" s="394" t="s">
        <v>676</v>
      </c>
      <c r="C25" s="393" t="s">
        <v>667</v>
      </c>
      <c r="D25" s="395">
        <v>1</v>
      </c>
      <c r="E25" s="396"/>
      <c r="F25" s="396"/>
    </row>
    <row r="26" spans="1:6" s="398" customFormat="1" ht="22.5" customHeight="1">
      <c r="A26" s="422">
        <f t="shared" si="0"/>
        <v>19</v>
      </c>
      <c r="B26" s="401" t="s">
        <v>677</v>
      </c>
      <c r="C26" s="416" t="s">
        <v>833</v>
      </c>
      <c r="D26" s="402">
        <v>1</v>
      </c>
      <c r="E26" s="403"/>
      <c r="F26" s="396"/>
    </row>
    <row r="27" spans="1:6" s="398" customFormat="1" ht="20.25" customHeight="1">
      <c r="A27" s="404"/>
      <c r="B27" s="404" t="s">
        <v>407</v>
      </c>
      <c r="C27" s="404"/>
      <c r="D27" s="405"/>
      <c r="E27" s="406"/>
      <c r="F27" s="407">
        <f>SUM(F8:F26)</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sheetPr>
  <dimension ref="A1:F23"/>
  <sheetViews>
    <sheetView topLeftCell="C6" zoomScale="115" zoomScaleNormal="115" workbookViewId="0">
      <selection activeCell="E18" sqref="E18"/>
    </sheetView>
  </sheetViews>
  <sheetFormatPr defaultRowHeight="15"/>
  <cols>
    <col min="1" max="1" width="10.140625" customWidth="1"/>
    <col min="2" max="2" width="81.7109375" bestFit="1" customWidth="1"/>
    <col min="3" max="3" width="21.5703125" bestFit="1" customWidth="1"/>
    <col min="4" max="4" width="21" customWidth="1"/>
    <col min="5" max="5" width="18.5703125" customWidth="1"/>
    <col min="6" max="6" width="14" customWidth="1"/>
  </cols>
  <sheetData>
    <row r="1" spans="1:6">
      <c r="A1" s="61" t="s">
        <v>49</v>
      </c>
      <c r="B1" s="62"/>
      <c r="C1" s="62"/>
      <c r="D1" s="62"/>
      <c r="E1" s="62"/>
      <c r="F1" s="62"/>
    </row>
    <row r="2" spans="1:6">
      <c r="A2" s="61"/>
      <c r="B2" s="62"/>
      <c r="C2" s="62"/>
      <c r="D2" s="62"/>
      <c r="E2" s="62"/>
      <c r="F2" s="62"/>
    </row>
    <row r="3" spans="1:6">
      <c r="A3" s="63" t="s">
        <v>111</v>
      </c>
      <c r="B3" s="64"/>
      <c r="C3" s="64"/>
      <c r="D3" s="64"/>
      <c r="E3" s="64"/>
      <c r="F3" s="64"/>
    </row>
    <row r="4" spans="1:6">
      <c r="A4" s="63" t="s">
        <v>48</v>
      </c>
      <c r="B4" s="64"/>
      <c r="C4" s="64"/>
      <c r="D4" s="64"/>
      <c r="E4" s="64"/>
      <c r="F4" s="64"/>
    </row>
    <row r="5" spans="1:6">
      <c r="A5" s="65" t="s">
        <v>110</v>
      </c>
      <c r="B5" s="66"/>
      <c r="C5" s="66"/>
      <c r="D5" s="66"/>
      <c r="E5" s="66"/>
      <c r="F5" s="66"/>
    </row>
    <row r="6" spans="1:6">
      <c r="A6" s="13" t="s">
        <v>1</v>
      </c>
      <c r="B6" s="14" t="s">
        <v>37</v>
      </c>
      <c r="C6" s="14" t="s">
        <v>38</v>
      </c>
      <c r="D6" s="15" t="s">
        <v>39</v>
      </c>
      <c r="E6" s="14" t="s">
        <v>40</v>
      </c>
      <c r="F6" s="14" t="s">
        <v>41</v>
      </c>
    </row>
    <row r="7" spans="1:6">
      <c r="A7" s="3">
        <v>1</v>
      </c>
      <c r="B7" s="18" t="s">
        <v>112</v>
      </c>
      <c r="C7" s="19" t="s">
        <v>47</v>
      </c>
      <c r="D7" s="3">
        <f>D8*0.5*1*1</f>
        <v>6</v>
      </c>
      <c r="E7" s="3"/>
      <c r="F7" s="12"/>
    </row>
    <row r="8" spans="1:6">
      <c r="A8" s="3">
        <v>2</v>
      </c>
      <c r="B8" s="18" t="s">
        <v>113</v>
      </c>
      <c r="C8" s="3" t="s">
        <v>47</v>
      </c>
      <c r="D8" s="3">
        <v>12</v>
      </c>
      <c r="E8" s="3"/>
      <c r="F8" s="12"/>
    </row>
    <row r="9" spans="1:6">
      <c r="A9" s="28">
        <v>3</v>
      </c>
      <c r="B9" s="18" t="s">
        <v>114</v>
      </c>
      <c r="C9" s="3" t="s">
        <v>47</v>
      </c>
      <c r="D9" s="3">
        <v>0.48</v>
      </c>
      <c r="E9" s="3"/>
      <c r="F9" s="12"/>
    </row>
    <row r="10" spans="1:6">
      <c r="A10" s="28">
        <v>4</v>
      </c>
      <c r="B10" s="21" t="s">
        <v>116</v>
      </c>
      <c r="C10" s="3" t="s">
        <v>115</v>
      </c>
      <c r="D10" s="3">
        <f>8.76*2</f>
        <v>17.52</v>
      </c>
      <c r="E10" s="3"/>
      <c r="F10" s="12"/>
    </row>
    <row r="11" spans="1:6">
      <c r="A11" s="28">
        <v>5</v>
      </c>
      <c r="B11" s="18" t="s">
        <v>117</v>
      </c>
      <c r="C11" s="3" t="s">
        <v>118</v>
      </c>
      <c r="D11" s="3">
        <v>1.131</v>
      </c>
      <c r="E11" s="3"/>
      <c r="F11" s="12"/>
    </row>
    <row r="12" spans="1:6">
      <c r="A12" s="28">
        <v>6</v>
      </c>
      <c r="B12" s="18" t="s">
        <v>123</v>
      </c>
      <c r="C12" s="3" t="s">
        <v>52</v>
      </c>
      <c r="D12" s="3">
        <v>60</v>
      </c>
      <c r="E12" s="3"/>
      <c r="F12" s="12"/>
    </row>
    <row r="13" spans="1:6">
      <c r="A13" s="28">
        <v>7</v>
      </c>
      <c r="B13" s="18" t="s">
        <v>130</v>
      </c>
      <c r="C13" s="3" t="s">
        <v>46</v>
      </c>
      <c r="D13" s="3">
        <f>D16*0.78</f>
        <v>12.48</v>
      </c>
      <c r="E13" s="3"/>
      <c r="F13" s="12"/>
    </row>
    <row r="14" spans="1:6">
      <c r="A14" s="28">
        <v>8</v>
      </c>
      <c r="B14" s="18" t="s">
        <v>120</v>
      </c>
      <c r="C14" s="3" t="s">
        <v>119</v>
      </c>
      <c r="D14" s="3">
        <f>197*2+4*4</f>
        <v>410</v>
      </c>
      <c r="E14" s="3"/>
      <c r="F14" s="12"/>
    </row>
    <row r="15" spans="1:6">
      <c r="A15" s="28">
        <v>9</v>
      </c>
      <c r="B15" s="21" t="s">
        <v>121</v>
      </c>
      <c r="C15" s="3" t="s">
        <v>51</v>
      </c>
      <c r="D15" s="3">
        <v>654</v>
      </c>
      <c r="E15" s="3"/>
      <c r="F15" s="12"/>
    </row>
    <row r="16" spans="1:6" ht="30">
      <c r="A16" s="28">
        <v>10</v>
      </c>
      <c r="B16" s="18" t="s">
        <v>122</v>
      </c>
      <c r="C16" s="3" t="s">
        <v>115</v>
      </c>
      <c r="D16" s="3">
        <v>16</v>
      </c>
      <c r="E16" s="3"/>
      <c r="F16" s="12"/>
    </row>
    <row r="17" spans="1:6">
      <c r="A17" s="28">
        <v>11</v>
      </c>
      <c r="B17" s="18" t="s">
        <v>124</v>
      </c>
      <c r="C17" s="3" t="s">
        <v>118</v>
      </c>
      <c r="D17" s="3">
        <f>D11+(D9*2.5)</f>
        <v>2.331</v>
      </c>
      <c r="E17" s="3"/>
      <c r="F17" s="12"/>
    </row>
    <row r="18" spans="1:6">
      <c r="A18" s="28">
        <v>12</v>
      </c>
      <c r="B18" s="21" t="s">
        <v>125</v>
      </c>
      <c r="C18" s="3" t="s">
        <v>118</v>
      </c>
      <c r="D18" s="3">
        <f>D17</f>
        <v>2.331</v>
      </c>
      <c r="E18" s="3"/>
      <c r="F18" s="12"/>
    </row>
    <row r="19" spans="1:6">
      <c r="A19" s="28">
        <v>13</v>
      </c>
      <c r="B19" s="18" t="s">
        <v>127</v>
      </c>
      <c r="C19" s="3" t="s">
        <v>128</v>
      </c>
      <c r="D19" s="3">
        <v>50</v>
      </c>
      <c r="E19" s="3"/>
      <c r="F19" s="12"/>
    </row>
    <row r="20" spans="1:6">
      <c r="A20" s="28">
        <v>14</v>
      </c>
      <c r="B20" s="18" t="s">
        <v>386</v>
      </c>
      <c r="C20" s="28" t="s">
        <v>118</v>
      </c>
      <c r="D20" s="28">
        <f>D11</f>
        <v>1.131</v>
      </c>
      <c r="E20" s="28"/>
      <c r="F20" s="12"/>
    </row>
    <row r="21" spans="1:6">
      <c r="A21" s="28">
        <v>15</v>
      </c>
      <c r="B21" s="18" t="s">
        <v>150</v>
      </c>
      <c r="C21" s="6" t="s">
        <v>51</v>
      </c>
      <c r="D21" s="3">
        <v>2</v>
      </c>
      <c r="E21" s="3"/>
      <c r="F21" s="12"/>
    </row>
    <row r="22" spans="1:6">
      <c r="A22" s="28">
        <v>16</v>
      </c>
      <c r="B22" s="18" t="s">
        <v>129</v>
      </c>
      <c r="C22" s="3" t="s">
        <v>115</v>
      </c>
      <c r="D22" s="3">
        <f>D16</f>
        <v>16</v>
      </c>
      <c r="E22" s="3"/>
      <c r="F22" s="12"/>
    </row>
    <row r="23" spans="1:6">
      <c r="A23" s="3"/>
      <c r="B23" s="4" t="s">
        <v>18</v>
      </c>
      <c r="C23" s="3"/>
      <c r="D23" s="3"/>
      <c r="E23" s="3"/>
      <c r="F23" s="16">
        <f>SUM(F7:F22)</f>
        <v>0</v>
      </c>
    </row>
  </sheetData>
  <mergeCells count="4">
    <mergeCell ref="A1:F2"/>
    <mergeCell ref="A3:F3"/>
    <mergeCell ref="A4:F4"/>
    <mergeCell ref="A5:F5"/>
  </mergeCell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5"/>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6" s="199" customFormat="1" ht="32.25" customHeight="1">
      <c r="A1" s="231" t="str">
        <f>'N1-6'!A1:F1</f>
        <v>yazbegis, aragvis, fSav-xevsureTisa da TuSeTis dacul teritoriebze arsebuli 7 qoxis saxarjTaRricxvo dokumentacia.</v>
      </c>
      <c r="B1" s="198"/>
      <c r="C1" s="198"/>
      <c r="D1" s="198"/>
      <c r="E1" s="198"/>
      <c r="F1" s="198"/>
    </row>
    <row r="2" spans="1:6" s="376" customFormat="1" ht="13.5" customHeight="1">
      <c r="A2" s="375" t="s">
        <v>664</v>
      </c>
      <c r="B2" s="375"/>
      <c r="C2" s="375"/>
      <c r="D2" s="375"/>
      <c r="E2" s="375"/>
      <c r="F2" s="375"/>
    </row>
    <row r="3" spans="1:6" s="376" customFormat="1" ht="19.5" customHeight="1">
      <c r="A3" s="330" t="s">
        <v>520</v>
      </c>
      <c r="B3" s="330"/>
      <c r="C3" s="330"/>
      <c r="D3" s="330"/>
      <c r="E3" s="330"/>
      <c r="F3" s="330"/>
    </row>
    <row r="4" spans="1:6" s="335" customFormat="1" ht="20.25" customHeight="1">
      <c r="A4" s="377" t="s">
        <v>834</v>
      </c>
      <c r="B4" s="377"/>
      <c r="C4" s="377"/>
      <c r="D4" s="377"/>
      <c r="E4" s="377"/>
      <c r="F4" s="377"/>
    </row>
    <row r="5" spans="1:6" s="199" customFormat="1" ht="19.5" customHeight="1" thickBot="1">
      <c r="A5" s="379" t="s">
        <v>517</v>
      </c>
      <c r="B5" s="379"/>
      <c r="C5" s="379"/>
      <c r="D5" s="379"/>
      <c r="E5" s="379"/>
      <c r="F5" s="379"/>
    </row>
    <row r="6" spans="1:6" ht="87.6" customHeight="1" thickBot="1">
      <c r="A6" s="381" t="s">
        <v>523</v>
      </c>
      <c r="B6" s="382" t="s">
        <v>524</v>
      </c>
      <c r="C6" s="383" t="s">
        <v>525</v>
      </c>
      <c r="D6" s="384" t="s">
        <v>411</v>
      </c>
      <c r="E6" s="385" t="s">
        <v>526</v>
      </c>
      <c r="F6" s="386" t="s">
        <v>527</v>
      </c>
    </row>
    <row r="7" spans="1:6" ht="16.5" thickBot="1">
      <c r="A7" s="387">
        <v>1</v>
      </c>
      <c r="B7" s="388">
        <v>2</v>
      </c>
      <c r="C7" s="389">
        <v>3</v>
      </c>
      <c r="D7" s="390" t="s">
        <v>488</v>
      </c>
      <c r="E7" s="391" t="s">
        <v>513</v>
      </c>
      <c r="F7" s="392" t="s">
        <v>515</v>
      </c>
    </row>
    <row r="8" spans="1:6" s="397" customFormat="1" ht="36.75" customHeight="1">
      <c r="A8" s="393" t="s">
        <v>5</v>
      </c>
      <c r="B8" s="394" t="s">
        <v>835</v>
      </c>
      <c r="C8" s="393" t="s">
        <v>667</v>
      </c>
      <c r="D8" s="395">
        <v>1</v>
      </c>
      <c r="E8" s="396"/>
      <c r="F8" s="396"/>
    </row>
    <row r="9" spans="1:6" s="397" customFormat="1" ht="53.25" customHeight="1">
      <c r="A9" s="393" t="s">
        <v>7</v>
      </c>
      <c r="B9" s="394" t="s">
        <v>836</v>
      </c>
      <c r="C9" s="393" t="s">
        <v>824</v>
      </c>
      <c r="D9" s="395">
        <v>150</v>
      </c>
      <c r="E9" s="396"/>
      <c r="F9" s="396"/>
    </row>
    <row r="10" spans="1:6" s="398" customFormat="1" ht="25.5">
      <c r="A10" s="393" t="s">
        <v>487</v>
      </c>
      <c r="B10" s="394" t="s">
        <v>837</v>
      </c>
      <c r="C10" s="393" t="s">
        <v>674</v>
      </c>
      <c r="D10" s="395">
        <v>50</v>
      </c>
      <c r="E10" s="396"/>
      <c r="F10" s="396"/>
    </row>
    <row r="11" spans="1:6" s="397" customFormat="1" ht="30.75" customHeight="1">
      <c r="A11" s="393" t="s">
        <v>488</v>
      </c>
      <c r="B11" s="394" t="s">
        <v>838</v>
      </c>
      <c r="C11" s="393" t="s">
        <v>824</v>
      </c>
      <c r="D11" s="395">
        <v>30</v>
      </c>
      <c r="E11" s="396"/>
      <c r="F11" s="396"/>
    </row>
    <row r="12" spans="1:6" s="398" customFormat="1" ht="52.5" customHeight="1">
      <c r="A12" s="393" t="s">
        <v>513</v>
      </c>
      <c r="B12" s="394" t="s">
        <v>839</v>
      </c>
      <c r="C12" s="393" t="s">
        <v>674</v>
      </c>
      <c r="D12" s="395">
        <v>37</v>
      </c>
      <c r="E12" s="396"/>
      <c r="F12" s="396"/>
    </row>
    <row r="13" spans="1:6" s="398" customFormat="1" ht="54" customHeight="1">
      <c r="A13" s="393" t="s">
        <v>515</v>
      </c>
      <c r="B13" s="394" t="s">
        <v>840</v>
      </c>
      <c r="C13" s="393" t="s">
        <v>674</v>
      </c>
      <c r="D13" s="395">
        <v>5</v>
      </c>
      <c r="E13" s="396"/>
      <c r="F13" s="396"/>
    </row>
    <row r="14" spans="1:6" s="398" customFormat="1" ht="54" customHeight="1">
      <c r="A14" s="393" t="s">
        <v>675</v>
      </c>
      <c r="B14" s="394" t="s">
        <v>841</v>
      </c>
      <c r="C14" s="393" t="s">
        <v>674</v>
      </c>
      <c r="D14" s="395">
        <v>15</v>
      </c>
      <c r="E14" s="396"/>
      <c r="F14" s="396"/>
    </row>
    <row r="15" spans="1:6" s="398" customFormat="1" ht="54" customHeight="1">
      <c r="A15" s="393" t="s">
        <v>686</v>
      </c>
      <c r="B15" s="394" t="s">
        <v>842</v>
      </c>
      <c r="C15" s="393" t="s">
        <v>674</v>
      </c>
      <c r="D15" s="395">
        <v>11</v>
      </c>
      <c r="E15" s="396"/>
      <c r="F15" s="396"/>
    </row>
    <row r="16" spans="1:6" s="398" customFormat="1" ht="54" customHeight="1">
      <c r="A16" s="393" t="s">
        <v>688</v>
      </c>
      <c r="B16" s="394" t="s">
        <v>843</v>
      </c>
      <c r="C16" s="393" t="s">
        <v>674</v>
      </c>
      <c r="D16" s="395">
        <v>3</v>
      </c>
      <c r="E16" s="396"/>
      <c r="F16" s="396"/>
    </row>
    <row r="17" spans="1:6" ht="38.25">
      <c r="A17" s="393" t="s">
        <v>690</v>
      </c>
      <c r="B17" s="394" t="s">
        <v>844</v>
      </c>
      <c r="C17" s="393" t="s">
        <v>824</v>
      </c>
      <c r="D17" s="395">
        <v>200</v>
      </c>
      <c r="E17" s="396"/>
      <c r="F17" s="396"/>
    </row>
    <row r="18" spans="1:6" ht="38.25">
      <c r="A18" s="393" t="s">
        <v>692</v>
      </c>
      <c r="B18" s="394" t="s">
        <v>845</v>
      </c>
      <c r="C18" s="393" t="s">
        <v>824</v>
      </c>
      <c r="D18" s="395">
        <v>250</v>
      </c>
      <c r="E18" s="396"/>
      <c r="F18" s="396"/>
    </row>
    <row r="19" spans="1:6">
      <c r="A19" s="393" t="s">
        <v>694</v>
      </c>
      <c r="B19" s="394" t="s">
        <v>676</v>
      </c>
      <c r="C19" s="393" t="s">
        <v>667</v>
      </c>
      <c r="D19" s="395">
        <v>1</v>
      </c>
      <c r="E19" s="396"/>
      <c r="F19" s="396"/>
    </row>
    <row r="20" spans="1:6" s="398" customFormat="1" ht="22.5" customHeight="1">
      <c r="A20" s="422">
        <f t="shared" ref="A20" si="0">A19+1</f>
        <v>13</v>
      </c>
      <c r="B20" s="401" t="s">
        <v>677</v>
      </c>
      <c r="C20" s="416" t="s">
        <v>833</v>
      </c>
      <c r="D20" s="402">
        <v>1</v>
      </c>
      <c r="E20" s="403"/>
      <c r="F20" s="396"/>
    </row>
    <row r="21" spans="1:6" s="398" customFormat="1" ht="20.25" customHeight="1">
      <c r="A21" s="404"/>
      <c r="B21" s="404" t="s">
        <v>407</v>
      </c>
      <c r="C21" s="404"/>
      <c r="D21" s="405"/>
      <c r="E21" s="406"/>
      <c r="F21" s="407">
        <f>SUM(F8:F20)</f>
        <v>0</v>
      </c>
    </row>
    <row r="25" spans="1:6">
      <c r="F25" s="398"/>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9"/>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9" s="199" customFormat="1" ht="32.25" customHeight="1">
      <c r="A1" s="231" t="str">
        <f>'N1-7'!A1:F1</f>
        <v>yazbegis, aragvis, fSav-xevsureTisa da TuSeTis dacul teritoriebze arsebuli 7 qoxis saxarjTaRricxvo dokumentacia.</v>
      </c>
      <c r="B1" s="198"/>
      <c r="C1" s="198"/>
      <c r="D1" s="198"/>
      <c r="E1" s="198"/>
      <c r="F1" s="198"/>
    </row>
    <row r="2" spans="1:9" s="376" customFormat="1" ht="13.5" customHeight="1">
      <c r="A2" s="375" t="s">
        <v>664</v>
      </c>
      <c r="B2" s="375"/>
      <c r="C2" s="375"/>
      <c r="D2" s="375"/>
      <c r="E2" s="375"/>
      <c r="F2" s="375"/>
    </row>
    <row r="3" spans="1:9" s="376" customFormat="1" ht="19.5" customHeight="1">
      <c r="A3" s="330" t="s">
        <v>520</v>
      </c>
      <c r="B3" s="330"/>
      <c r="C3" s="330"/>
      <c r="D3" s="330"/>
      <c r="E3" s="330"/>
      <c r="F3" s="330"/>
    </row>
    <row r="4" spans="1:9" s="335" customFormat="1" ht="20.25" customHeight="1">
      <c r="A4" s="377" t="s">
        <v>846</v>
      </c>
      <c r="B4" s="377"/>
      <c r="C4" s="377"/>
      <c r="D4" s="377"/>
      <c r="E4" s="377"/>
      <c r="F4" s="377"/>
      <c r="G4" s="378"/>
    </row>
    <row r="5" spans="1:9" s="199" customFormat="1" ht="19.5" customHeight="1" thickBot="1">
      <c r="A5" s="379" t="s">
        <v>847</v>
      </c>
      <c r="B5" s="379"/>
      <c r="C5" s="379"/>
      <c r="D5" s="379"/>
      <c r="E5" s="379"/>
      <c r="F5" s="379"/>
      <c r="G5" s="380"/>
    </row>
    <row r="6" spans="1:9" ht="87.6" customHeight="1" thickBot="1">
      <c r="A6" s="381" t="s">
        <v>523</v>
      </c>
      <c r="B6" s="382" t="s">
        <v>524</v>
      </c>
      <c r="C6" s="383" t="s">
        <v>525</v>
      </c>
      <c r="D6" s="384" t="s">
        <v>411</v>
      </c>
      <c r="E6" s="385" t="s">
        <v>526</v>
      </c>
      <c r="F6" s="386" t="s">
        <v>527</v>
      </c>
    </row>
    <row r="7" spans="1:9" ht="16.5" thickBot="1">
      <c r="A7" s="387">
        <v>1</v>
      </c>
      <c r="B7" s="388">
        <v>2</v>
      </c>
      <c r="C7" s="389">
        <v>3</v>
      </c>
      <c r="D7" s="390" t="s">
        <v>488</v>
      </c>
      <c r="E7" s="391" t="s">
        <v>513</v>
      </c>
      <c r="F7" s="392" t="s">
        <v>515</v>
      </c>
    </row>
    <row r="8" spans="1:9" s="397" customFormat="1" ht="36.75" customHeight="1">
      <c r="A8" s="393" t="s">
        <v>5</v>
      </c>
      <c r="B8" s="394" t="s">
        <v>848</v>
      </c>
      <c r="C8" s="393" t="s">
        <v>674</v>
      </c>
      <c r="D8" s="395">
        <v>1</v>
      </c>
      <c r="E8" s="396"/>
      <c r="F8" s="396"/>
    </row>
    <row r="9" spans="1:9" s="397" customFormat="1" ht="53.25" customHeight="1">
      <c r="A9" s="393" t="s">
        <v>7</v>
      </c>
      <c r="B9" s="394" t="s">
        <v>849</v>
      </c>
      <c r="C9" s="393" t="s">
        <v>674</v>
      </c>
      <c r="D9" s="395">
        <v>2</v>
      </c>
      <c r="E9" s="396"/>
      <c r="F9" s="396"/>
    </row>
    <row r="10" spans="1:9" s="398" customFormat="1" ht="76.5">
      <c r="A10" s="393" t="s">
        <v>487</v>
      </c>
      <c r="B10" s="394" t="s">
        <v>850</v>
      </c>
      <c r="C10" s="393" t="s">
        <v>674</v>
      </c>
      <c r="D10" s="395">
        <v>4</v>
      </c>
      <c r="E10" s="396"/>
      <c r="F10" s="396"/>
      <c r="H10" s="397"/>
      <c r="I10" s="397"/>
    </row>
    <row r="11" spans="1:9" s="397" customFormat="1" ht="31.5" customHeight="1">
      <c r="A11" s="393" t="s">
        <v>488</v>
      </c>
      <c r="B11" s="394" t="s">
        <v>851</v>
      </c>
      <c r="C11" s="393" t="s">
        <v>824</v>
      </c>
      <c r="D11" s="395">
        <v>60</v>
      </c>
      <c r="E11" s="396"/>
      <c r="F11" s="396"/>
    </row>
    <row r="12" spans="1:9" s="398" customFormat="1" ht="31.5" customHeight="1">
      <c r="A12" s="393" t="s">
        <v>513</v>
      </c>
      <c r="B12" s="394" t="s">
        <v>852</v>
      </c>
      <c r="C12" s="393" t="s">
        <v>674</v>
      </c>
      <c r="D12" s="395">
        <v>10</v>
      </c>
      <c r="E12" s="396"/>
      <c r="F12" s="396"/>
      <c r="H12" s="397"/>
      <c r="I12" s="397"/>
    </row>
    <row r="13" spans="1:9" s="398" customFormat="1" ht="31.5" customHeight="1">
      <c r="A13" s="393" t="s">
        <v>515</v>
      </c>
      <c r="B13" s="394" t="s">
        <v>853</v>
      </c>
      <c r="C13" s="393" t="s">
        <v>824</v>
      </c>
      <c r="D13" s="395">
        <v>36</v>
      </c>
      <c r="E13" s="396"/>
      <c r="F13" s="396"/>
      <c r="H13" s="397"/>
      <c r="I13" s="397"/>
    </row>
    <row r="14" spans="1:9" s="398" customFormat="1" ht="31.5" customHeight="1">
      <c r="A14" s="393" t="s">
        <v>675</v>
      </c>
      <c r="B14" s="394" t="s">
        <v>854</v>
      </c>
      <c r="C14" s="393" t="s">
        <v>667</v>
      </c>
      <c r="D14" s="395">
        <v>1</v>
      </c>
      <c r="E14" s="396"/>
      <c r="F14" s="396"/>
      <c r="G14" s="399"/>
      <c r="H14" s="397"/>
      <c r="I14" s="397"/>
    </row>
    <row r="15" spans="1:9" s="398" customFormat="1" ht="31.5" customHeight="1">
      <c r="A15" s="393" t="s">
        <v>686</v>
      </c>
      <c r="B15" s="394" t="s">
        <v>855</v>
      </c>
      <c r="C15" s="393" t="s">
        <v>667</v>
      </c>
      <c r="D15" s="395">
        <v>1</v>
      </c>
      <c r="E15" s="396"/>
      <c r="F15" s="396"/>
      <c r="H15" s="397"/>
      <c r="I15" s="397"/>
    </row>
    <row r="16" spans="1:9" s="398" customFormat="1" ht="31.5" customHeight="1">
      <c r="A16" s="393" t="s">
        <v>688</v>
      </c>
      <c r="B16" s="394" t="s">
        <v>856</v>
      </c>
      <c r="C16" s="393" t="s">
        <v>667</v>
      </c>
      <c r="D16" s="395">
        <v>1</v>
      </c>
      <c r="E16" s="396"/>
      <c r="F16" s="396"/>
      <c r="H16" s="397"/>
      <c r="I16" s="397"/>
    </row>
    <row r="17" spans="1:9">
      <c r="A17" s="393" t="s">
        <v>690</v>
      </c>
      <c r="B17" s="394" t="s">
        <v>854</v>
      </c>
      <c r="C17" s="393" t="s">
        <v>667</v>
      </c>
      <c r="D17" s="395">
        <v>1</v>
      </c>
      <c r="E17" s="396"/>
      <c r="F17" s="396"/>
      <c r="H17" s="397"/>
      <c r="I17" s="397"/>
    </row>
    <row r="18" spans="1:9" s="398" customFormat="1" ht="22.5" customHeight="1">
      <c r="A18" s="393" t="s">
        <v>692</v>
      </c>
      <c r="B18" s="401" t="s">
        <v>702</v>
      </c>
      <c r="C18" s="393" t="s">
        <v>667</v>
      </c>
      <c r="D18" s="402">
        <v>1</v>
      </c>
      <c r="E18" s="403"/>
      <c r="F18" s="396"/>
      <c r="H18" s="397"/>
      <c r="I18" s="397"/>
    </row>
    <row r="19" spans="1:9" s="398" customFormat="1" ht="20.25" customHeight="1">
      <c r="A19" s="404"/>
      <c r="B19" s="404" t="s">
        <v>407</v>
      </c>
      <c r="C19" s="404"/>
      <c r="D19" s="405"/>
      <c r="E19" s="406"/>
      <c r="F19" s="407">
        <f>SUM(F8:F18)</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O18"/>
  <sheetViews>
    <sheetView topLeftCell="A7" zoomScaleNormal="100" workbookViewId="0">
      <selection activeCell="B8" sqref="B8"/>
    </sheetView>
  </sheetViews>
  <sheetFormatPr defaultRowHeight="12.75"/>
  <cols>
    <col min="1" max="1" width="7.7109375" style="104" customWidth="1"/>
    <col min="2" max="2" width="10.7109375" style="104" customWidth="1"/>
    <col min="3" max="3" width="45.7109375" style="104" customWidth="1"/>
    <col min="4" max="4" width="21" style="104" customWidth="1"/>
    <col min="5" max="16384" width="9.140625" style="104"/>
  </cols>
  <sheetData>
    <row r="1" spans="1:4" s="199" customFormat="1" ht="47.25" customHeight="1">
      <c r="A1" s="231" t="str">
        <f>'N1-8'!A1:F1</f>
        <v>yazbegis, aragvis, fSav-xevsureTisa da TuSeTis dacul teritoriebze arsebuli 7 qoxis saxarjTaRricxvo dokumentacia.</v>
      </c>
      <c r="B1" s="198"/>
      <c r="C1" s="198"/>
      <c r="D1" s="198"/>
    </row>
    <row r="2" spans="1:4" s="201" customFormat="1" ht="24" customHeight="1">
      <c r="A2" s="200" t="s">
        <v>493</v>
      </c>
      <c r="B2" s="200"/>
      <c r="C2" s="200"/>
      <c r="D2" s="200"/>
    </row>
    <row r="3" spans="1:4" s="201" customFormat="1" ht="23.25" customHeight="1" thickBot="1">
      <c r="A3" s="202" t="s">
        <v>857</v>
      </c>
      <c r="B3" s="202"/>
      <c r="C3" s="202"/>
      <c r="D3" s="202"/>
    </row>
    <row r="4" spans="1:4" s="201" customFormat="1" ht="108" customHeight="1" thickBot="1">
      <c r="A4" s="203" t="s">
        <v>506</v>
      </c>
      <c r="B4" s="204" t="s">
        <v>392</v>
      </c>
      <c r="C4" s="205" t="s">
        <v>507</v>
      </c>
      <c r="D4" s="205" t="s">
        <v>508</v>
      </c>
    </row>
    <row r="5" spans="1:4" s="201" customFormat="1" ht="20.25" customHeight="1" thickBot="1">
      <c r="A5" s="206">
        <v>1</v>
      </c>
      <c r="B5" s="207">
        <v>2</v>
      </c>
      <c r="C5" s="206">
        <v>3</v>
      </c>
      <c r="D5" s="206">
        <v>4</v>
      </c>
    </row>
    <row r="6" spans="1:4" s="201" customFormat="1" ht="22.5" customHeight="1">
      <c r="A6" s="208">
        <v>1</v>
      </c>
      <c r="B6" s="424" t="s">
        <v>76</v>
      </c>
      <c r="C6" s="210" t="s">
        <v>509</v>
      </c>
      <c r="D6" s="425">
        <f>'N2-1'!F83</f>
        <v>0</v>
      </c>
    </row>
    <row r="7" spans="1:4" s="216" customFormat="1" ht="39.75" customHeight="1">
      <c r="A7" s="212" t="s">
        <v>7</v>
      </c>
      <c r="B7" s="424" t="s">
        <v>77</v>
      </c>
      <c r="C7" s="214" t="s">
        <v>510</v>
      </c>
      <c r="D7" s="215">
        <f>'N2-2'!F18</f>
        <v>0</v>
      </c>
    </row>
    <row r="8" spans="1:4" s="201" customFormat="1" ht="22.5" customHeight="1">
      <c r="A8" s="217">
        <v>3</v>
      </c>
      <c r="B8" s="424" t="s">
        <v>78</v>
      </c>
      <c r="C8" s="218" t="s">
        <v>511</v>
      </c>
      <c r="D8" s="215">
        <f>'N2-3'!F16</f>
        <v>0</v>
      </c>
    </row>
    <row r="9" spans="1:4" s="201" customFormat="1" ht="22.5" customHeight="1">
      <c r="A9" s="212" t="s">
        <v>488</v>
      </c>
      <c r="B9" s="424" t="s">
        <v>79</v>
      </c>
      <c r="C9" s="218" t="s">
        <v>512</v>
      </c>
      <c r="D9" s="215">
        <f>'N2-4'!F25</f>
        <v>0</v>
      </c>
    </row>
    <row r="10" spans="1:4" s="201" customFormat="1" ht="22.5" customHeight="1">
      <c r="A10" s="212" t="s">
        <v>513</v>
      </c>
      <c r="B10" s="424" t="s">
        <v>80</v>
      </c>
      <c r="C10" s="218" t="s">
        <v>514</v>
      </c>
      <c r="D10" s="215">
        <f>'N2-5'!F113</f>
        <v>0</v>
      </c>
    </row>
    <row r="11" spans="1:4" s="201" customFormat="1" ht="22.5" customHeight="1">
      <c r="A11" s="212" t="s">
        <v>515</v>
      </c>
      <c r="B11" s="424" t="s">
        <v>81</v>
      </c>
      <c r="C11" s="218" t="s">
        <v>516</v>
      </c>
      <c r="D11" s="215">
        <f>'N2-6'!F27</f>
        <v>0</v>
      </c>
    </row>
    <row r="12" spans="1:4" s="201" customFormat="1" ht="39" customHeight="1">
      <c r="A12" s="217">
        <v>7</v>
      </c>
      <c r="B12" s="424" t="s">
        <v>82</v>
      </c>
      <c r="C12" s="219" t="s">
        <v>517</v>
      </c>
      <c r="D12" s="215">
        <f>'N2-7'!F21</f>
        <v>0</v>
      </c>
    </row>
    <row r="13" spans="1:4" s="201" customFormat="1" ht="33.75" customHeight="1">
      <c r="A13" s="217">
        <v>8</v>
      </c>
      <c r="B13" s="424" t="s">
        <v>83</v>
      </c>
      <c r="C13" s="219" t="s">
        <v>518</v>
      </c>
      <c r="D13" s="215">
        <f>'N2-8'!F19</f>
        <v>0</v>
      </c>
    </row>
    <row r="14" spans="1:4" s="201" customFormat="1" ht="22.5" customHeight="1" thickBot="1">
      <c r="A14" s="220"/>
      <c r="B14" s="221"/>
      <c r="C14" s="222" t="s">
        <v>519</v>
      </c>
      <c r="D14" s="223">
        <f>SUM(D6:D13)</f>
        <v>0</v>
      </c>
    </row>
    <row r="15" spans="1:4" s="225" customFormat="1" ht="13.5">
      <c r="A15" s="224"/>
    </row>
    <row r="16" spans="1:4" s="226" customFormat="1"/>
    <row r="17" spans="1:119" s="229" customFormat="1" ht="15">
      <c r="A17" s="228"/>
      <c r="B17" s="228"/>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30"/>
      <c r="AP17" s="230"/>
      <c r="AQ17" s="230"/>
      <c r="AR17" s="230"/>
      <c r="AS17" s="230"/>
      <c r="AT17" s="230"/>
      <c r="AU17" s="230"/>
      <c r="AV17" s="230"/>
      <c r="AW17" s="230"/>
      <c r="AX17" s="230"/>
      <c r="AY17" s="230"/>
      <c r="AZ17" s="230"/>
      <c r="BA17" s="230"/>
      <c r="BB17" s="230"/>
      <c r="BC17" s="230"/>
      <c r="BD17" s="230"/>
      <c r="BE17" s="230"/>
      <c r="BF17" s="230"/>
      <c r="BG17" s="230"/>
      <c r="BH17" s="230"/>
      <c r="BI17" s="230"/>
      <c r="BJ17" s="230"/>
      <c r="BK17" s="230"/>
      <c r="BL17" s="230"/>
      <c r="BM17" s="230"/>
      <c r="BN17" s="230"/>
      <c r="BO17" s="230"/>
      <c r="BP17" s="230"/>
      <c r="BQ17" s="230"/>
      <c r="BR17" s="230"/>
      <c r="BS17" s="230"/>
      <c r="BT17" s="230"/>
      <c r="BU17" s="230"/>
      <c r="BV17" s="230"/>
      <c r="BW17" s="230"/>
      <c r="BX17" s="230"/>
      <c r="BY17" s="230"/>
      <c r="BZ17" s="230"/>
      <c r="CA17" s="230"/>
      <c r="CB17" s="230"/>
      <c r="CC17" s="230"/>
      <c r="CD17" s="230"/>
      <c r="CE17" s="230"/>
      <c r="CF17" s="230"/>
      <c r="CG17" s="230"/>
      <c r="CH17" s="230"/>
      <c r="CI17" s="230"/>
      <c r="CJ17" s="230"/>
      <c r="CK17" s="230"/>
      <c r="CL17" s="230"/>
      <c r="CM17" s="230"/>
      <c r="CN17" s="230"/>
      <c r="CO17" s="230"/>
      <c r="CP17" s="230"/>
      <c r="CQ17" s="230"/>
      <c r="CR17" s="230"/>
      <c r="CS17" s="230"/>
      <c r="CT17" s="230"/>
      <c r="CU17" s="230"/>
      <c r="CV17" s="230"/>
      <c r="CW17" s="230"/>
      <c r="CX17" s="230"/>
      <c r="CY17" s="230"/>
      <c r="CZ17" s="230"/>
      <c r="DA17" s="230"/>
      <c r="DB17" s="230"/>
      <c r="DC17" s="230"/>
      <c r="DD17" s="230"/>
      <c r="DE17" s="230"/>
      <c r="DF17" s="230"/>
      <c r="DG17" s="230"/>
      <c r="DH17" s="230"/>
      <c r="DI17" s="230"/>
      <c r="DJ17" s="230"/>
      <c r="DK17" s="230"/>
      <c r="DL17" s="230"/>
      <c r="DM17" s="230"/>
      <c r="DN17" s="230"/>
      <c r="DO17" s="230"/>
    </row>
    <row r="18" spans="1:119">
      <c r="F18" s="426"/>
    </row>
  </sheetData>
  <mergeCells count="3">
    <mergeCell ref="A1:D1"/>
    <mergeCell ref="A2:D2"/>
    <mergeCell ref="A3:D3"/>
  </mergeCells>
  <pageMargins left="0.7" right="0.7" top="0.75" bottom="0.75" header="0.3" footer="0.3"/>
  <pageSetup paperSize="9"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86"/>
  <sheetViews>
    <sheetView topLeftCell="A79" zoomScale="120" zoomScaleNormal="120" workbookViewId="0">
      <selection activeCell="B8" sqref="B8"/>
    </sheetView>
  </sheetViews>
  <sheetFormatPr defaultRowHeight="13.5"/>
  <cols>
    <col min="1" max="1" width="3.42578125" style="474" customWidth="1"/>
    <col min="2" max="2" width="48.5703125" style="475" customWidth="1"/>
    <col min="3" max="3" width="8" style="475" customWidth="1"/>
    <col min="4" max="5" width="9" style="476" customWidth="1"/>
    <col min="6" max="6" width="10.140625" style="476" customWidth="1"/>
    <col min="7" max="7" width="9.140625" style="104"/>
    <col min="8" max="8" width="11.28515625" style="104" bestFit="1" customWidth="1"/>
    <col min="9" max="16384" width="9.140625" style="104"/>
  </cols>
  <sheetData>
    <row r="1" spans="1:7" s="199" customFormat="1" ht="48.6" customHeight="1">
      <c r="A1" s="231" t="str">
        <f>ob.N2!A1</f>
        <v>yazbegis, aragvis, fSav-xevsureTisa da TuSeTis dacul teritoriebze arsebuli 7 qoxis saxarjTaRricxvo dokumentacia.</v>
      </c>
      <c r="B1" s="198"/>
      <c r="C1" s="198"/>
      <c r="D1" s="198"/>
      <c r="E1" s="198"/>
      <c r="F1" s="198"/>
    </row>
    <row r="2" spans="1:7" s="376" customFormat="1" ht="19.5" customHeight="1">
      <c r="A2" s="330" t="s">
        <v>858</v>
      </c>
      <c r="B2" s="330"/>
      <c r="C2" s="330"/>
      <c r="D2" s="330"/>
      <c r="E2" s="330"/>
      <c r="F2" s="330"/>
    </row>
    <row r="3" spans="1:7" s="376" customFormat="1" ht="20.25" customHeight="1">
      <c r="A3" s="427"/>
      <c r="B3" s="428" t="s">
        <v>859</v>
      </c>
      <c r="C3" s="428"/>
      <c r="D3" s="428"/>
      <c r="E3" s="428"/>
      <c r="F3" s="428"/>
      <c r="G3" s="429"/>
    </row>
    <row r="4" spans="1:7" s="376" customFormat="1" ht="20.25" customHeight="1">
      <c r="A4" s="427"/>
      <c r="B4" s="428" t="s">
        <v>522</v>
      </c>
      <c r="C4" s="428"/>
      <c r="D4" s="428"/>
      <c r="E4" s="428"/>
      <c r="F4" s="428"/>
      <c r="G4" s="429"/>
    </row>
    <row r="5" spans="1:7" s="376" customFormat="1" ht="15" customHeight="1" thickBot="1">
      <c r="A5" s="427"/>
      <c r="B5" s="430"/>
      <c r="C5" s="431"/>
      <c r="D5" s="432"/>
      <c r="E5" s="432"/>
      <c r="F5" s="432"/>
      <c r="G5" s="429"/>
    </row>
    <row r="6" spans="1:7" s="164" customFormat="1" ht="28.5" customHeight="1">
      <c r="A6" s="433" t="s">
        <v>860</v>
      </c>
      <c r="B6" s="337" t="s">
        <v>861</v>
      </c>
      <c r="C6" s="434" t="s">
        <v>652</v>
      </c>
      <c r="D6" s="341" t="s">
        <v>411</v>
      </c>
      <c r="E6" s="340" t="s">
        <v>526</v>
      </c>
      <c r="F6" s="341" t="s">
        <v>653</v>
      </c>
    </row>
    <row r="7" spans="1:7" s="164" customFormat="1" ht="45.6" customHeight="1" thickBot="1">
      <c r="A7" s="435"/>
      <c r="B7" s="345"/>
      <c r="C7" s="436"/>
      <c r="D7" s="349"/>
      <c r="E7" s="348"/>
      <c r="F7" s="349"/>
    </row>
    <row r="8" spans="1:7" s="376" customFormat="1" ht="18.600000000000001" customHeight="1" thickBot="1">
      <c r="A8" s="437" t="s">
        <v>5</v>
      </c>
      <c r="B8" s="438">
        <v>2</v>
      </c>
      <c r="C8" s="439">
        <v>3</v>
      </c>
      <c r="D8" s="438">
        <v>4</v>
      </c>
      <c r="E8" s="439">
        <v>5</v>
      </c>
      <c r="F8" s="440">
        <v>6</v>
      </c>
    </row>
    <row r="9" spans="1:7" s="444" customFormat="1" ht="16.5">
      <c r="A9" s="441"/>
      <c r="B9" s="442" t="s">
        <v>528</v>
      </c>
      <c r="C9" s="441"/>
      <c r="D9" s="253"/>
      <c r="E9" s="253"/>
      <c r="F9" s="443"/>
    </row>
    <row r="10" spans="1:7" s="373" customFormat="1" ht="35.25" customHeight="1">
      <c r="A10" s="445">
        <v>1</v>
      </c>
      <c r="B10" s="358" t="s">
        <v>862</v>
      </c>
      <c r="C10" s="366" t="s">
        <v>530</v>
      </c>
      <c r="D10" s="259">
        <v>12</v>
      </c>
      <c r="E10" s="259"/>
      <c r="F10" s="360"/>
    </row>
    <row r="11" spans="1:7" s="446" customFormat="1" ht="28.5" customHeight="1">
      <c r="A11" s="366">
        <v>2</v>
      </c>
      <c r="B11" s="358" t="s">
        <v>531</v>
      </c>
      <c r="C11" s="366" t="s">
        <v>530</v>
      </c>
      <c r="D11" s="259">
        <v>9</v>
      </c>
      <c r="E11" s="259"/>
      <c r="F11" s="360"/>
    </row>
    <row r="12" spans="1:7" s="164" customFormat="1" ht="16.5" customHeight="1">
      <c r="A12" s="366">
        <v>3</v>
      </c>
      <c r="B12" s="358" t="s">
        <v>532</v>
      </c>
      <c r="C12" s="366" t="s">
        <v>530</v>
      </c>
      <c r="D12" s="259">
        <v>3</v>
      </c>
      <c r="E12" s="259"/>
      <c r="F12" s="360"/>
    </row>
    <row r="13" spans="1:7" s="447" customFormat="1" ht="14.25" customHeight="1">
      <c r="A13" s="441"/>
      <c r="B13" s="442" t="s">
        <v>533</v>
      </c>
      <c r="C13" s="441"/>
      <c r="D13" s="253"/>
      <c r="E13" s="253"/>
      <c r="F13" s="360"/>
    </row>
    <row r="14" spans="1:7" ht="31.5">
      <c r="A14" s="366">
        <v>1</v>
      </c>
      <c r="B14" s="358" t="s">
        <v>863</v>
      </c>
      <c r="C14" s="366" t="s">
        <v>530</v>
      </c>
      <c r="D14" s="259">
        <f>0.3*30</f>
        <v>9</v>
      </c>
      <c r="E14" s="266"/>
      <c r="F14" s="360"/>
    </row>
    <row r="15" spans="1:7" ht="15.75">
      <c r="A15" s="281" t="s">
        <v>535</v>
      </c>
      <c r="B15" s="280" t="s">
        <v>536</v>
      </c>
      <c r="C15" s="281" t="s">
        <v>537</v>
      </c>
      <c r="D15" s="448">
        <f>5.86*30/1000</f>
        <v>0.17580000000000001</v>
      </c>
      <c r="E15" s="268"/>
      <c r="F15" s="360"/>
    </row>
    <row r="16" spans="1:7" ht="15.75">
      <c r="A16" s="281" t="s">
        <v>538</v>
      </c>
      <c r="B16" s="280" t="s">
        <v>539</v>
      </c>
      <c r="C16" s="281" t="s">
        <v>537</v>
      </c>
      <c r="D16" s="448">
        <f>(18.94+2.4)*30/1000</f>
        <v>0.64019999999999999</v>
      </c>
      <c r="E16" s="268"/>
      <c r="F16" s="360"/>
    </row>
    <row r="17" spans="1:6" ht="31.5">
      <c r="A17" s="366">
        <v>2</v>
      </c>
      <c r="B17" s="358" t="s">
        <v>864</v>
      </c>
      <c r="C17" s="366" t="s">
        <v>537</v>
      </c>
      <c r="D17" s="449">
        <f>9.9*30/1000</f>
        <v>0.29699999999999999</v>
      </c>
      <c r="E17" s="266"/>
      <c r="F17" s="360"/>
    </row>
    <row r="18" spans="1:6" ht="31.5">
      <c r="A18" s="366">
        <v>3</v>
      </c>
      <c r="B18" s="358" t="s">
        <v>865</v>
      </c>
      <c r="C18" s="366" t="s">
        <v>537</v>
      </c>
      <c r="D18" s="366">
        <f>0.00864*30+3.192</f>
        <v>3.4512</v>
      </c>
      <c r="E18" s="266"/>
      <c r="F18" s="360"/>
    </row>
    <row r="19" spans="1:6" ht="31.5">
      <c r="A19" s="366">
        <v>4</v>
      </c>
      <c r="B19" s="358" t="s">
        <v>866</v>
      </c>
      <c r="C19" s="366" t="s">
        <v>530</v>
      </c>
      <c r="D19" s="259">
        <v>3.4</v>
      </c>
      <c r="E19" s="266"/>
      <c r="F19" s="360"/>
    </row>
    <row r="20" spans="1:6" ht="31.5">
      <c r="A20" s="445">
        <v>5</v>
      </c>
      <c r="B20" s="358" t="s">
        <v>568</v>
      </c>
      <c r="C20" s="366" t="s">
        <v>537</v>
      </c>
      <c r="D20" s="450">
        <v>0.36764000000000002</v>
      </c>
      <c r="E20" s="266"/>
      <c r="F20" s="360"/>
    </row>
    <row r="21" spans="1:6" ht="31.5">
      <c r="A21" s="359">
        <v>4</v>
      </c>
      <c r="B21" s="358" t="s">
        <v>569</v>
      </c>
      <c r="C21" s="359" t="s">
        <v>537</v>
      </c>
      <c r="D21" s="451">
        <f>D18+D20</f>
        <v>3.8188400000000002</v>
      </c>
      <c r="E21" s="274"/>
      <c r="F21" s="360"/>
    </row>
    <row r="22" spans="1:6" ht="15.75">
      <c r="A22" s="359">
        <v>5</v>
      </c>
      <c r="B22" s="358" t="s">
        <v>570</v>
      </c>
      <c r="C22" s="359" t="s">
        <v>554</v>
      </c>
      <c r="D22" s="263">
        <v>124</v>
      </c>
      <c r="E22" s="274"/>
      <c r="F22" s="360"/>
    </row>
    <row r="23" spans="1:6" ht="31.5">
      <c r="A23" s="362">
        <v>6</v>
      </c>
      <c r="B23" s="358" t="s">
        <v>867</v>
      </c>
      <c r="C23" s="359" t="s">
        <v>537</v>
      </c>
      <c r="D23" s="451">
        <f>D21</f>
        <v>3.8188400000000002</v>
      </c>
      <c r="E23" s="274"/>
      <c r="F23" s="360"/>
    </row>
    <row r="24" spans="1:6" ht="31.5">
      <c r="A24" s="400">
        <v>7</v>
      </c>
      <c r="B24" s="358" t="s">
        <v>573</v>
      </c>
      <c r="C24" s="366" t="s">
        <v>530</v>
      </c>
      <c r="D24" s="278">
        <f>5.6+1.4+3.65</f>
        <v>10.65</v>
      </c>
      <c r="E24" s="266"/>
      <c r="F24" s="360"/>
    </row>
    <row r="25" spans="1:6" ht="31.5">
      <c r="A25" s="366">
        <v>9</v>
      </c>
      <c r="B25" s="358" t="s">
        <v>868</v>
      </c>
      <c r="C25" s="366" t="s">
        <v>530</v>
      </c>
      <c r="D25" s="278">
        <f>12.93</f>
        <v>12.93</v>
      </c>
      <c r="E25" s="266"/>
      <c r="F25" s="360"/>
    </row>
    <row r="26" spans="1:6" ht="15.75">
      <c r="A26" s="281">
        <v>10</v>
      </c>
      <c r="B26" s="452" t="s">
        <v>575</v>
      </c>
      <c r="C26" s="281" t="s">
        <v>530</v>
      </c>
      <c r="D26" s="453">
        <f>D19+D24+D25</f>
        <v>26.98</v>
      </c>
      <c r="E26" s="270"/>
      <c r="F26" s="360"/>
    </row>
    <row r="27" spans="1:6" ht="30.75">
      <c r="A27" s="400">
        <v>19</v>
      </c>
      <c r="B27" s="358" t="s">
        <v>869</v>
      </c>
      <c r="C27" s="366" t="s">
        <v>537</v>
      </c>
      <c r="D27" s="366">
        <v>3.40774</v>
      </c>
      <c r="E27" s="266"/>
      <c r="F27" s="360"/>
    </row>
    <row r="28" spans="1:6" ht="15.75">
      <c r="A28" s="281" t="s">
        <v>577</v>
      </c>
      <c r="B28" s="280" t="s">
        <v>578</v>
      </c>
      <c r="C28" s="281" t="s">
        <v>474</v>
      </c>
      <c r="D28" s="268">
        <v>300</v>
      </c>
      <c r="E28" s="268"/>
      <c r="F28" s="360"/>
    </row>
    <row r="29" spans="1:6" ht="15.75">
      <c r="A29" s="281" t="s">
        <v>579</v>
      </c>
      <c r="B29" s="280" t="s">
        <v>580</v>
      </c>
      <c r="C29" s="281" t="s">
        <v>474</v>
      </c>
      <c r="D29" s="268">
        <v>220</v>
      </c>
      <c r="E29" s="268"/>
      <c r="F29" s="360"/>
    </row>
    <row r="30" spans="1:6" ht="16.5">
      <c r="A30" s="441"/>
      <c r="B30" s="442" t="s">
        <v>581</v>
      </c>
      <c r="C30" s="441"/>
      <c r="D30" s="253"/>
      <c r="E30" s="253"/>
      <c r="F30" s="360"/>
    </row>
    <row r="31" spans="1:6" ht="31.5">
      <c r="A31" s="400">
        <v>1</v>
      </c>
      <c r="B31" s="358" t="s">
        <v>582</v>
      </c>
      <c r="C31" s="366" t="s">
        <v>530</v>
      </c>
      <c r="D31" s="259">
        <v>3.5339499999999999</v>
      </c>
      <c r="E31" s="266"/>
      <c r="F31" s="360"/>
    </row>
    <row r="32" spans="1:6" ht="53.25" customHeight="1">
      <c r="A32" s="359">
        <v>2</v>
      </c>
      <c r="B32" s="358" t="s">
        <v>583</v>
      </c>
      <c r="C32" s="359" t="s">
        <v>554</v>
      </c>
      <c r="D32" s="263">
        <v>153.65</v>
      </c>
      <c r="E32" s="274"/>
      <c r="F32" s="360"/>
    </row>
    <row r="33" spans="1:6" ht="31.5">
      <c r="A33" s="359" t="s">
        <v>545</v>
      </c>
      <c r="B33" s="358" t="s">
        <v>584</v>
      </c>
      <c r="C33" s="362" t="s">
        <v>530</v>
      </c>
      <c r="D33" s="363">
        <f>D32*0.025</f>
        <v>3.8412500000000005</v>
      </c>
      <c r="E33" s="274"/>
      <c r="F33" s="360"/>
    </row>
    <row r="34" spans="1:6" ht="15.75">
      <c r="A34" s="400">
        <v>3</v>
      </c>
      <c r="B34" s="358" t="s">
        <v>585</v>
      </c>
      <c r="C34" s="366" t="s">
        <v>586</v>
      </c>
      <c r="D34" s="259">
        <f>D32</f>
        <v>153.65</v>
      </c>
      <c r="E34" s="266"/>
      <c r="F34" s="360"/>
    </row>
    <row r="35" spans="1:6" ht="31.5">
      <c r="A35" s="400">
        <v>4</v>
      </c>
      <c r="B35" s="358" t="s">
        <v>870</v>
      </c>
      <c r="C35" s="366" t="s">
        <v>554</v>
      </c>
      <c r="D35" s="259">
        <f>D32</f>
        <v>153.65</v>
      </c>
      <c r="E35" s="266"/>
      <c r="F35" s="360"/>
    </row>
    <row r="36" spans="1:6" ht="15.75">
      <c r="A36" s="400">
        <v>5</v>
      </c>
      <c r="B36" s="358" t="s">
        <v>588</v>
      </c>
      <c r="C36" s="366" t="s">
        <v>586</v>
      </c>
      <c r="D36" s="259">
        <f>95.1+10.95</f>
        <v>106.05</v>
      </c>
      <c r="E36" s="266"/>
      <c r="F36" s="360"/>
    </row>
    <row r="37" spans="1:6" ht="53.25" customHeight="1">
      <c r="A37" s="359">
        <v>6</v>
      </c>
      <c r="B37" s="358" t="s">
        <v>871</v>
      </c>
      <c r="C37" s="359" t="s">
        <v>554</v>
      </c>
      <c r="D37" s="263">
        <v>99.7</v>
      </c>
      <c r="E37" s="274"/>
      <c r="F37" s="360"/>
    </row>
    <row r="38" spans="1:6" ht="31.5">
      <c r="A38" s="359" t="s">
        <v>556</v>
      </c>
      <c r="B38" s="358" t="s">
        <v>584</v>
      </c>
      <c r="C38" s="362" t="s">
        <v>530</v>
      </c>
      <c r="D38" s="363">
        <f>D37*0.025</f>
        <v>2.4925000000000002</v>
      </c>
      <c r="E38" s="274"/>
      <c r="F38" s="360"/>
    </row>
    <row r="39" spans="1:6" ht="31.5">
      <c r="A39" s="359">
        <v>7</v>
      </c>
      <c r="B39" s="358" t="s">
        <v>590</v>
      </c>
      <c r="C39" s="359" t="s">
        <v>554</v>
      </c>
      <c r="D39" s="263">
        <v>11.35</v>
      </c>
      <c r="E39" s="274"/>
      <c r="F39" s="360"/>
    </row>
    <row r="40" spans="1:6" ht="16.5">
      <c r="A40" s="441"/>
      <c r="B40" s="442" t="s">
        <v>591</v>
      </c>
      <c r="C40" s="441"/>
      <c r="D40" s="253"/>
      <c r="E40" s="253"/>
      <c r="F40" s="360"/>
    </row>
    <row r="41" spans="1:6" ht="15.75">
      <c r="A41" s="281">
        <v>1</v>
      </c>
      <c r="B41" s="452" t="s">
        <v>592</v>
      </c>
      <c r="C41" s="281" t="s">
        <v>530</v>
      </c>
      <c r="D41" s="268">
        <v>18.399999999999999</v>
      </c>
      <c r="E41" s="270"/>
      <c r="F41" s="360"/>
    </row>
    <row r="42" spans="1:6" ht="16.5">
      <c r="A42" s="441"/>
      <c r="B42" s="442" t="s">
        <v>593</v>
      </c>
      <c r="C42" s="441"/>
      <c r="D42" s="253"/>
      <c r="E42" s="253"/>
      <c r="F42" s="360"/>
    </row>
    <row r="43" spans="1:6" ht="31.5">
      <c r="A43" s="400">
        <v>1</v>
      </c>
      <c r="B43" s="358" t="s">
        <v>872</v>
      </c>
      <c r="C43" s="366" t="s">
        <v>586</v>
      </c>
      <c r="D43" s="259">
        <v>170.5</v>
      </c>
      <c r="E43" s="266"/>
      <c r="F43" s="360"/>
    </row>
    <row r="44" spans="1:6" ht="63">
      <c r="A44" s="400">
        <v>2</v>
      </c>
      <c r="B44" s="358" t="s">
        <v>596</v>
      </c>
      <c r="C44" s="366" t="s">
        <v>554</v>
      </c>
      <c r="D44" s="259">
        <v>50.7</v>
      </c>
      <c r="E44" s="266"/>
      <c r="F44" s="360"/>
    </row>
    <row r="45" spans="1:6" ht="47.25">
      <c r="A45" s="359" t="s">
        <v>545</v>
      </c>
      <c r="B45" s="358" t="s">
        <v>598</v>
      </c>
      <c r="C45" s="359" t="s">
        <v>530</v>
      </c>
      <c r="D45" s="263">
        <v>0.75</v>
      </c>
      <c r="E45" s="274"/>
      <c r="F45" s="360"/>
    </row>
    <row r="46" spans="1:6" ht="47.25">
      <c r="A46" s="400">
        <v>3</v>
      </c>
      <c r="B46" s="358" t="s">
        <v>873</v>
      </c>
      <c r="C46" s="366" t="s">
        <v>554</v>
      </c>
      <c r="D46" s="278">
        <v>5.95</v>
      </c>
      <c r="E46" s="266"/>
      <c r="F46" s="360"/>
    </row>
    <row r="47" spans="1:6" ht="63">
      <c r="A47" s="400">
        <v>4</v>
      </c>
      <c r="B47" s="358" t="s">
        <v>601</v>
      </c>
      <c r="C47" s="366" t="s">
        <v>554</v>
      </c>
      <c r="D47" s="259">
        <v>34.549999999999997</v>
      </c>
      <c r="E47" s="266"/>
      <c r="F47" s="360"/>
    </row>
    <row r="48" spans="1:6" ht="47.25">
      <c r="A48" s="359" t="s">
        <v>550</v>
      </c>
      <c r="B48" s="358" t="s">
        <v>598</v>
      </c>
      <c r="C48" s="359" t="s">
        <v>530</v>
      </c>
      <c r="D48" s="363">
        <v>0.5</v>
      </c>
      <c r="E48" s="274"/>
      <c r="F48" s="360"/>
    </row>
    <row r="49" spans="1:6" ht="63">
      <c r="A49" s="359">
        <v>5</v>
      </c>
      <c r="B49" s="358" t="s">
        <v>603</v>
      </c>
      <c r="C49" s="359" t="s">
        <v>554</v>
      </c>
      <c r="D49" s="263">
        <f>D47</f>
        <v>34.549999999999997</v>
      </c>
      <c r="E49" s="274"/>
      <c r="F49" s="360"/>
    </row>
    <row r="50" spans="1:6" ht="15.75">
      <c r="A50" s="454"/>
      <c r="B50" s="455" t="s">
        <v>604</v>
      </c>
      <c r="C50" s="454"/>
      <c r="D50" s="456"/>
      <c r="E50" s="292"/>
      <c r="F50" s="360"/>
    </row>
    <row r="51" spans="1:6" ht="15.75">
      <c r="A51" s="359">
        <v>1</v>
      </c>
      <c r="B51" s="358" t="s">
        <v>874</v>
      </c>
      <c r="C51" s="359" t="s">
        <v>554</v>
      </c>
      <c r="D51" s="263">
        <v>17.420000000000002</v>
      </c>
      <c r="E51" s="274"/>
      <c r="F51" s="360"/>
    </row>
    <row r="52" spans="1:6" ht="15.75">
      <c r="A52" s="359">
        <v>2</v>
      </c>
      <c r="B52" s="358" t="s">
        <v>875</v>
      </c>
      <c r="C52" s="359" t="s">
        <v>554</v>
      </c>
      <c r="D52" s="263">
        <v>4.68</v>
      </c>
      <c r="E52" s="274"/>
      <c r="F52" s="360"/>
    </row>
    <row r="53" spans="1:6" ht="47.25">
      <c r="A53" s="359">
        <v>3</v>
      </c>
      <c r="B53" s="358" t="s">
        <v>876</v>
      </c>
      <c r="C53" s="359" t="s">
        <v>554</v>
      </c>
      <c r="D53" s="283">
        <v>3.64</v>
      </c>
      <c r="E53" s="274"/>
      <c r="F53" s="360"/>
    </row>
    <row r="54" spans="1:6" s="373" customFormat="1" ht="47.25">
      <c r="A54" s="359">
        <v>4</v>
      </c>
      <c r="B54" s="358" t="s">
        <v>877</v>
      </c>
      <c r="C54" s="359" t="s">
        <v>554</v>
      </c>
      <c r="D54" s="283">
        <f>11.44+6.24</f>
        <v>17.68</v>
      </c>
      <c r="E54" s="274"/>
      <c r="F54" s="360"/>
    </row>
    <row r="55" spans="1:6" ht="31.5">
      <c r="A55" s="400">
        <v>5</v>
      </c>
      <c r="B55" s="358" t="s">
        <v>612</v>
      </c>
      <c r="C55" s="366" t="s">
        <v>554</v>
      </c>
      <c r="D55" s="278">
        <v>2.4500000000000002</v>
      </c>
      <c r="E55" s="266"/>
      <c r="F55" s="360"/>
    </row>
    <row r="56" spans="1:6" ht="15.75">
      <c r="A56" s="454"/>
      <c r="B56" s="442" t="s">
        <v>613</v>
      </c>
      <c r="C56" s="454"/>
      <c r="D56" s="457"/>
      <c r="E56" s="292"/>
      <c r="F56" s="360"/>
    </row>
    <row r="57" spans="1:6" ht="15.75">
      <c r="A57" s="400">
        <v>1</v>
      </c>
      <c r="B57" s="458" t="s">
        <v>614</v>
      </c>
      <c r="C57" s="400" t="s">
        <v>554</v>
      </c>
      <c r="D57" s="278">
        <v>144</v>
      </c>
      <c r="E57" s="306"/>
      <c r="F57" s="360"/>
    </row>
    <row r="58" spans="1:6" ht="31.5">
      <c r="A58" s="366">
        <v>2</v>
      </c>
      <c r="B58" s="358" t="s">
        <v>615</v>
      </c>
      <c r="C58" s="366" t="s">
        <v>530</v>
      </c>
      <c r="D58" s="259">
        <f>116*0.1</f>
        <v>11.600000000000001</v>
      </c>
      <c r="E58" s="266"/>
      <c r="F58" s="360"/>
    </row>
    <row r="59" spans="1:6" ht="31.5">
      <c r="A59" s="362">
        <v>3</v>
      </c>
      <c r="B59" s="358" t="s">
        <v>616</v>
      </c>
      <c r="C59" s="359" t="s">
        <v>554</v>
      </c>
      <c r="D59" s="283">
        <v>144</v>
      </c>
      <c r="E59" s="274"/>
      <c r="F59" s="360"/>
    </row>
    <row r="60" spans="1:6" ht="31.5">
      <c r="A60" s="459">
        <v>4</v>
      </c>
      <c r="B60" s="460" t="s">
        <v>617</v>
      </c>
      <c r="C60" s="459" t="s">
        <v>554</v>
      </c>
      <c r="D60" s="287">
        <v>10.69</v>
      </c>
      <c r="E60" s="288"/>
      <c r="F60" s="360"/>
    </row>
    <row r="61" spans="1:6" ht="47.25">
      <c r="A61" s="362">
        <v>5</v>
      </c>
      <c r="B61" s="458" t="s">
        <v>618</v>
      </c>
      <c r="C61" s="359" t="s">
        <v>554</v>
      </c>
      <c r="D61" s="263">
        <v>114.71</v>
      </c>
      <c r="E61" s="274"/>
      <c r="F61" s="360"/>
    </row>
    <row r="62" spans="1:6" ht="15.75">
      <c r="A62" s="454"/>
      <c r="B62" s="442" t="s">
        <v>620</v>
      </c>
      <c r="C62" s="454"/>
      <c r="D62" s="457"/>
      <c r="E62" s="292"/>
      <c r="F62" s="360"/>
    </row>
    <row r="63" spans="1:6" ht="15.75">
      <c r="A63" s="400">
        <v>1</v>
      </c>
      <c r="B63" s="358" t="s">
        <v>621</v>
      </c>
      <c r="C63" s="366" t="s">
        <v>554</v>
      </c>
      <c r="D63" s="278">
        <v>184.9</v>
      </c>
      <c r="E63" s="266"/>
      <c r="F63" s="360"/>
    </row>
    <row r="64" spans="1:6" ht="15.75">
      <c r="A64" s="366">
        <v>2</v>
      </c>
      <c r="B64" s="358" t="s">
        <v>622</v>
      </c>
      <c r="C64" s="366" t="s">
        <v>554</v>
      </c>
      <c r="D64" s="259">
        <v>120.3</v>
      </c>
      <c r="E64" s="266"/>
      <c r="F64" s="360"/>
    </row>
    <row r="65" spans="1:6" ht="15.75">
      <c r="A65" s="400">
        <v>3</v>
      </c>
      <c r="B65" s="358" t="s">
        <v>585</v>
      </c>
      <c r="C65" s="366" t="s">
        <v>554</v>
      </c>
      <c r="D65" s="278">
        <v>137.30000000000001</v>
      </c>
      <c r="E65" s="266"/>
      <c r="F65" s="360"/>
    </row>
    <row r="66" spans="1:6" ht="15.75">
      <c r="A66" s="400">
        <v>4</v>
      </c>
      <c r="B66" s="358" t="s">
        <v>623</v>
      </c>
      <c r="C66" s="366" t="s">
        <v>554</v>
      </c>
      <c r="D66" s="278">
        <v>137.30000000000001</v>
      </c>
      <c r="E66" s="266"/>
      <c r="F66" s="360"/>
    </row>
    <row r="67" spans="1:6" ht="15.75">
      <c r="A67" s="400">
        <v>5</v>
      </c>
      <c r="B67" s="358" t="s">
        <v>624</v>
      </c>
      <c r="C67" s="461" t="s">
        <v>554</v>
      </c>
      <c r="D67" s="259">
        <v>137.30000000000001</v>
      </c>
      <c r="E67" s="266"/>
      <c r="F67" s="360"/>
    </row>
    <row r="68" spans="1:6" ht="15.75">
      <c r="A68" s="400">
        <v>6</v>
      </c>
      <c r="B68" s="458" t="s">
        <v>625</v>
      </c>
      <c r="C68" s="400" t="s">
        <v>554</v>
      </c>
      <c r="D68" s="278">
        <v>137.30000000000001</v>
      </c>
      <c r="E68" s="306"/>
      <c r="F68" s="360"/>
    </row>
    <row r="69" spans="1:6" ht="15.75">
      <c r="A69" s="400">
        <v>7</v>
      </c>
      <c r="B69" s="458" t="s">
        <v>626</v>
      </c>
      <c r="C69" s="400" t="s">
        <v>554</v>
      </c>
      <c r="D69" s="278">
        <v>137.30000000000001</v>
      </c>
      <c r="E69" s="306"/>
      <c r="F69" s="360"/>
    </row>
    <row r="70" spans="1:6" ht="15.75">
      <c r="A70" s="400">
        <v>8</v>
      </c>
      <c r="B70" s="358" t="s">
        <v>628</v>
      </c>
      <c r="C70" s="366" t="s">
        <v>554</v>
      </c>
      <c r="D70" s="259">
        <v>137.30000000000001</v>
      </c>
      <c r="E70" s="266"/>
      <c r="F70" s="360"/>
    </row>
    <row r="71" spans="1:6" ht="15.75">
      <c r="A71" s="454"/>
      <c r="B71" s="442" t="s">
        <v>629</v>
      </c>
      <c r="C71" s="454"/>
      <c r="D71" s="457"/>
      <c r="E71" s="292"/>
      <c r="F71" s="360"/>
    </row>
    <row r="72" spans="1:6" ht="31.5">
      <c r="A72" s="362">
        <v>1</v>
      </c>
      <c r="B72" s="458" t="s">
        <v>632</v>
      </c>
      <c r="C72" s="362" t="s">
        <v>554</v>
      </c>
      <c r="D72" s="283">
        <v>53.8</v>
      </c>
      <c r="E72" s="283"/>
      <c r="F72" s="360"/>
    </row>
    <row r="73" spans="1:6" ht="31.5">
      <c r="A73" s="400">
        <v>2</v>
      </c>
      <c r="B73" s="358" t="s">
        <v>878</v>
      </c>
      <c r="C73" s="366" t="s">
        <v>554</v>
      </c>
      <c r="D73" s="259">
        <v>88</v>
      </c>
      <c r="E73" s="266"/>
      <c r="F73" s="360"/>
    </row>
    <row r="74" spans="1:6" ht="31.5">
      <c r="A74" s="459">
        <v>3</v>
      </c>
      <c r="B74" s="460" t="s">
        <v>635</v>
      </c>
      <c r="C74" s="459" t="s">
        <v>586</v>
      </c>
      <c r="D74" s="287">
        <v>10.69</v>
      </c>
      <c r="E74" s="288"/>
      <c r="F74" s="360"/>
    </row>
    <row r="75" spans="1:6" ht="31.5">
      <c r="A75" s="359">
        <v>4</v>
      </c>
      <c r="B75" s="358" t="s">
        <v>636</v>
      </c>
      <c r="C75" s="359" t="s">
        <v>554</v>
      </c>
      <c r="D75" s="283">
        <f>D74</f>
        <v>10.69</v>
      </c>
      <c r="E75" s="304"/>
      <c r="F75" s="360"/>
    </row>
    <row r="76" spans="1:6" ht="47.25">
      <c r="A76" s="359">
        <v>5</v>
      </c>
      <c r="B76" s="358" t="s">
        <v>637</v>
      </c>
      <c r="C76" s="359" t="s">
        <v>554</v>
      </c>
      <c r="D76" s="263">
        <v>104.51</v>
      </c>
      <c r="E76" s="274"/>
      <c r="F76" s="360"/>
    </row>
    <row r="77" spans="1:6" ht="15.75">
      <c r="A77" s="454"/>
      <c r="B77" s="455" t="s">
        <v>638</v>
      </c>
      <c r="C77" s="454"/>
      <c r="D77" s="456"/>
      <c r="E77" s="292"/>
      <c r="F77" s="360"/>
    </row>
    <row r="78" spans="1:6" ht="63">
      <c r="A78" s="362">
        <v>1</v>
      </c>
      <c r="B78" s="458" t="s">
        <v>879</v>
      </c>
      <c r="C78" s="359" t="s">
        <v>554</v>
      </c>
      <c r="D78" s="263">
        <v>5.9</v>
      </c>
      <c r="E78" s="274"/>
      <c r="F78" s="360"/>
    </row>
    <row r="79" spans="1:6" ht="47.25">
      <c r="A79" s="359">
        <v>2</v>
      </c>
      <c r="B79" s="358" t="s">
        <v>880</v>
      </c>
      <c r="C79" s="359" t="s">
        <v>554</v>
      </c>
      <c r="D79" s="263">
        <v>5.9</v>
      </c>
      <c r="E79" s="274"/>
      <c r="F79" s="360"/>
    </row>
    <row r="80" spans="1:6" ht="47.25">
      <c r="A80" s="362">
        <v>3</v>
      </c>
      <c r="B80" s="358" t="s">
        <v>640</v>
      </c>
      <c r="C80" s="359" t="s">
        <v>641</v>
      </c>
      <c r="D80" s="263">
        <v>6.15</v>
      </c>
      <c r="E80" s="274"/>
      <c r="F80" s="360"/>
    </row>
    <row r="81" spans="1:8" ht="15.75">
      <c r="A81" s="362"/>
      <c r="B81" s="462" t="s">
        <v>407</v>
      </c>
      <c r="C81" s="359"/>
      <c r="D81" s="263"/>
      <c r="E81" s="463"/>
      <c r="F81" s="464">
        <f>SUM(F10:F80)</f>
        <v>0</v>
      </c>
    </row>
    <row r="82" spans="1:8" ht="58.5" customHeight="1">
      <c r="A82" s="465"/>
      <c r="B82" s="466" t="s">
        <v>881</v>
      </c>
      <c r="C82" s="467" t="s">
        <v>648</v>
      </c>
      <c r="D82" s="468">
        <f>1098/60</f>
        <v>18.3</v>
      </c>
      <c r="E82" s="469"/>
      <c r="F82" s="360"/>
    </row>
    <row r="83" spans="1:8" ht="16.5">
      <c r="A83" s="470"/>
      <c r="B83" s="471" t="s">
        <v>398</v>
      </c>
      <c r="C83" s="472"/>
      <c r="D83" s="470"/>
      <c r="E83" s="470"/>
      <c r="F83" s="464">
        <f>F81+F82</f>
        <v>0</v>
      </c>
      <c r="H83" s="473"/>
    </row>
    <row r="86" spans="1:8" ht="36" customHeight="1">
      <c r="B86" s="327" t="s">
        <v>649</v>
      </c>
      <c r="C86" s="327"/>
      <c r="D86" s="327"/>
      <c r="E86" s="327"/>
      <c r="F86" s="327"/>
    </row>
  </sheetData>
  <mergeCells count="11">
    <mergeCell ref="B86:F86"/>
    <mergeCell ref="A1:F1"/>
    <mergeCell ref="A2:F2"/>
    <mergeCell ref="B3:F3"/>
    <mergeCell ref="B4:F4"/>
    <mergeCell ref="A6:A7"/>
    <mergeCell ref="B6:B7"/>
    <mergeCell ref="C6:C7"/>
    <mergeCell ref="D6:D7"/>
    <mergeCell ref="E6:E7"/>
    <mergeCell ref="F6:F7"/>
  </mergeCells>
  <pageMargins left="0.70866141732283472" right="0.70866141732283472" top="0.74803149606299213" bottom="0.74803149606299213" header="0.31496062992125984" footer="0.31496062992125984"/>
  <pageSetup paperSize="9"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1"/>
  <sheetViews>
    <sheetView topLeftCell="A2" zoomScaleNormal="100" workbookViewId="0">
      <selection activeCell="B8" sqref="B8"/>
    </sheetView>
  </sheetViews>
  <sheetFormatPr defaultColWidth="9" defaultRowHeight="15.75"/>
  <cols>
    <col min="1" max="1" width="4.140625" style="478" customWidth="1"/>
    <col min="2" max="2" width="51.7109375" style="344" customWidth="1"/>
    <col min="3" max="3" width="7.28515625" style="409" customWidth="1"/>
    <col min="4" max="4" width="8.140625" style="409" customWidth="1"/>
    <col min="5" max="5" width="7.140625" style="409" customWidth="1"/>
    <col min="6" max="6" width="8.85546875" style="409" customWidth="1"/>
    <col min="7" max="16384" width="9" style="344"/>
  </cols>
  <sheetData>
    <row r="1" spans="1:6" s="199" customFormat="1" ht="54" customHeight="1">
      <c r="A1" s="231" t="str">
        <f>'N2-1'!A1:F1</f>
        <v>yazbegis, aragvis, fSav-xevsureTisa da TuSeTis dacul teritoriebze arsebuli 7 qoxis saxarjTaRricxvo dokumentacia.</v>
      </c>
      <c r="B1" s="198"/>
      <c r="C1" s="198"/>
      <c r="D1" s="198"/>
      <c r="E1" s="198"/>
      <c r="F1" s="198"/>
    </row>
    <row r="2" spans="1:6" s="376" customFormat="1" ht="23.25" customHeight="1">
      <c r="A2" s="477" t="s">
        <v>882</v>
      </c>
      <c r="B2" s="477"/>
      <c r="C2" s="477"/>
      <c r="D2" s="477"/>
      <c r="E2" s="477"/>
      <c r="F2" s="477"/>
    </row>
    <row r="3" spans="1:6" s="480" customFormat="1" ht="17.25" customHeight="1">
      <c r="A3" s="478"/>
      <c r="B3" s="479" t="s">
        <v>883</v>
      </c>
      <c r="C3" s="479"/>
      <c r="D3" s="479"/>
      <c r="E3" s="479"/>
      <c r="F3" s="479"/>
    </row>
    <row r="4" spans="1:6" s="483" customFormat="1" ht="18" customHeight="1">
      <c r="A4" s="481"/>
      <c r="B4" s="482" t="s">
        <v>522</v>
      </c>
      <c r="C4" s="482"/>
      <c r="D4" s="482"/>
      <c r="E4" s="482"/>
      <c r="F4" s="482"/>
    </row>
    <row r="5" spans="1:6" s="485" customFormat="1" ht="14.25" customHeight="1" thickBot="1">
      <c r="A5" s="478"/>
      <c r="B5" s="484"/>
      <c r="C5" s="484"/>
      <c r="D5" s="484"/>
      <c r="E5" s="484"/>
      <c r="F5" s="484"/>
    </row>
    <row r="6" spans="1:6" ht="42" customHeight="1">
      <c r="A6" s="337" t="s">
        <v>392</v>
      </c>
      <c r="B6" s="338" t="s">
        <v>524</v>
      </c>
      <c r="C6" s="434" t="s">
        <v>652</v>
      </c>
      <c r="D6" s="341" t="s">
        <v>411</v>
      </c>
      <c r="E6" s="340" t="s">
        <v>526</v>
      </c>
      <c r="F6" s="341" t="s">
        <v>884</v>
      </c>
    </row>
    <row r="7" spans="1:6" ht="30" customHeight="1">
      <c r="A7" s="486"/>
      <c r="B7" s="487"/>
      <c r="C7" s="436"/>
      <c r="D7" s="349"/>
      <c r="E7" s="348"/>
      <c r="F7" s="349"/>
    </row>
    <row r="8" spans="1:6" s="492" customFormat="1" ht="25.9" customHeight="1">
      <c r="A8" s="488" t="s">
        <v>5</v>
      </c>
      <c r="B8" s="489">
        <v>2</v>
      </c>
      <c r="C8" s="490">
        <v>3</v>
      </c>
      <c r="D8" s="491">
        <v>4</v>
      </c>
      <c r="E8" s="490">
        <v>5</v>
      </c>
      <c r="F8" s="491">
        <v>6</v>
      </c>
    </row>
    <row r="9" spans="1:6" s="494" customFormat="1" ht="58.5" customHeight="1">
      <c r="A9" s="493">
        <v>1</v>
      </c>
      <c r="B9" s="358" t="s">
        <v>654</v>
      </c>
      <c r="C9" s="359" t="s">
        <v>554</v>
      </c>
      <c r="D9" s="263">
        <v>23.35</v>
      </c>
      <c r="E9" s="274"/>
      <c r="F9" s="360"/>
    </row>
    <row r="10" spans="1:6" s="446" customFormat="1" ht="34.5" customHeight="1">
      <c r="A10" s="493" t="s">
        <v>535</v>
      </c>
      <c r="B10" s="358" t="s">
        <v>655</v>
      </c>
      <c r="C10" s="362" t="s">
        <v>530</v>
      </c>
      <c r="D10" s="363">
        <f>D9*0.03</f>
        <v>0.70050000000000001</v>
      </c>
      <c r="E10" s="283"/>
      <c r="F10" s="360"/>
    </row>
    <row r="11" spans="1:6" ht="47.25">
      <c r="A11" s="493">
        <v>2</v>
      </c>
      <c r="B11" s="358" t="s">
        <v>885</v>
      </c>
      <c r="C11" s="359" t="s">
        <v>554</v>
      </c>
      <c r="D11" s="263">
        <v>22.85</v>
      </c>
      <c r="E11" s="274"/>
      <c r="F11" s="360"/>
    </row>
    <row r="12" spans="1:6" ht="32.25" customHeight="1">
      <c r="A12" s="493" t="s">
        <v>545</v>
      </c>
      <c r="B12" s="358" t="s">
        <v>655</v>
      </c>
      <c r="C12" s="362" t="s">
        <v>530</v>
      </c>
      <c r="D12" s="363">
        <f>D11*0.03</f>
        <v>0.6855</v>
      </c>
      <c r="E12" s="283"/>
      <c r="F12" s="360"/>
    </row>
    <row r="13" spans="1:6" ht="47.25">
      <c r="A13" s="493">
        <v>3</v>
      </c>
      <c r="B13" s="358" t="s">
        <v>658</v>
      </c>
      <c r="C13" s="359" t="s">
        <v>554</v>
      </c>
      <c r="D13" s="283">
        <v>1.6</v>
      </c>
      <c r="E13" s="274"/>
      <c r="F13" s="360"/>
    </row>
    <row r="14" spans="1:6" ht="47.25">
      <c r="A14" s="493">
        <f t="shared" ref="A14:A17" si="0">A13+1</f>
        <v>4</v>
      </c>
      <c r="B14" s="358" t="s">
        <v>659</v>
      </c>
      <c r="C14" s="366" t="s">
        <v>530</v>
      </c>
      <c r="D14" s="278">
        <v>0.2</v>
      </c>
      <c r="E14" s="266"/>
      <c r="F14" s="360"/>
    </row>
    <row r="15" spans="1:6" ht="31.5">
      <c r="A15" s="493">
        <f t="shared" si="0"/>
        <v>5</v>
      </c>
      <c r="B15" s="358" t="s">
        <v>660</v>
      </c>
      <c r="C15" s="366" t="s">
        <v>554</v>
      </c>
      <c r="D15" s="259">
        <v>13.7</v>
      </c>
      <c r="E15" s="266"/>
      <c r="F15" s="360"/>
    </row>
    <row r="16" spans="1:6" ht="31.5">
      <c r="A16" s="493">
        <f t="shared" si="0"/>
        <v>6</v>
      </c>
      <c r="B16" s="358" t="s">
        <v>661</v>
      </c>
      <c r="C16" s="366" t="s">
        <v>554</v>
      </c>
      <c r="D16" s="259">
        <f>D15</f>
        <v>13.7</v>
      </c>
      <c r="E16" s="266"/>
      <c r="F16" s="360"/>
    </row>
    <row r="17" spans="1:6">
      <c r="A17" s="493">
        <f t="shared" si="0"/>
        <v>7</v>
      </c>
      <c r="B17" s="358" t="s">
        <v>662</v>
      </c>
      <c r="C17" s="359" t="s">
        <v>554</v>
      </c>
      <c r="D17" s="263">
        <f>D15</f>
        <v>13.7</v>
      </c>
      <c r="E17" s="274"/>
      <c r="F17" s="360"/>
    </row>
    <row r="18" spans="1:6" s="373" customFormat="1" ht="16.5">
      <c r="A18" s="367"/>
      <c r="B18" s="368" t="s">
        <v>663</v>
      </c>
      <c r="C18" s="369"/>
      <c r="D18" s="370"/>
      <c r="E18" s="371"/>
      <c r="F18" s="464">
        <f>SUM(F9:F17)</f>
        <v>0</v>
      </c>
    </row>
    <row r="21" spans="1:6" ht="31.5" customHeight="1">
      <c r="B21" s="327"/>
      <c r="C21" s="327"/>
      <c r="D21" s="327"/>
      <c r="E21" s="327"/>
      <c r="F21" s="327"/>
    </row>
  </sheetData>
  <mergeCells count="12">
    <mergeCell ref="F6:F7"/>
    <mergeCell ref="B21:F21"/>
    <mergeCell ref="A1:F1"/>
    <mergeCell ref="A2:F2"/>
    <mergeCell ref="B3:F3"/>
    <mergeCell ref="B4:F4"/>
    <mergeCell ref="B5:F5"/>
    <mergeCell ref="A6:A7"/>
    <mergeCell ref="B6:B7"/>
    <mergeCell ref="C6:C7"/>
    <mergeCell ref="D6:D7"/>
    <mergeCell ref="E6:E7"/>
  </mergeCells>
  <pageMargins left="0.7" right="0.7" top="0.75" bottom="0.75" header="0.3" footer="0.3"/>
  <pageSetup paperSize="9"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6"/>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6" s="199" customFormat="1" ht="32.25" customHeight="1">
      <c r="A1" s="231" t="str">
        <f>'N2-2'!A1:F1</f>
        <v>yazbegis, aragvis, fSav-xevsureTisa da TuSeTis dacul teritoriebze arsebuli 7 qoxis saxarjTaRricxvo dokumentacia.</v>
      </c>
      <c r="B1" s="198"/>
      <c r="C1" s="198"/>
      <c r="D1" s="198"/>
      <c r="E1" s="198"/>
      <c r="F1" s="198"/>
    </row>
    <row r="2" spans="1:6" s="376" customFormat="1" ht="13.5" customHeight="1">
      <c r="A2" s="375" t="s">
        <v>664</v>
      </c>
      <c r="B2" s="375"/>
      <c r="C2" s="375"/>
      <c r="D2" s="375"/>
      <c r="E2" s="375"/>
      <c r="F2" s="375"/>
    </row>
    <row r="3" spans="1:6" s="376" customFormat="1" ht="19.5" customHeight="1">
      <c r="A3" s="330" t="s">
        <v>858</v>
      </c>
      <c r="B3" s="330"/>
      <c r="C3" s="330"/>
      <c r="D3" s="330"/>
      <c r="E3" s="330"/>
      <c r="F3" s="330"/>
    </row>
    <row r="4" spans="1:6" s="335" customFormat="1" ht="20.25" customHeight="1">
      <c r="A4" s="377" t="s">
        <v>886</v>
      </c>
      <c r="B4" s="377"/>
      <c r="C4" s="377"/>
      <c r="D4" s="377"/>
      <c r="E4" s="377"/>
      <c r="F4" s="377"/>
    </row>
    <row r="5" spans="1:6" s="199" customFormat="1" ht="19.5" customHeight="1" thickBot="1">
      <c r="A5" s="379" t="s">
        <v>511</v>
      </c>
      <c r="B5" s="379"/>
      <c r="C5" s="379"/>
      <c r="D5" s="379"/>
      <c r="E5" s="379"/>
      <c r="F5" s="379"/>
    </row>
    <row r="6" spans="1:6" ht="87.6" customHeight="1" thickBot="1">
      <c r="A6" s="381" t="s">
        <v>523</v>
      </c>
      <c r="B6" s="382" t="s">
        <v>524</v>
      </c>
      <c r="C6" s="383" t="s">
        <v>525</v>
      </c>
      <c r="D6" s="384" t="s">
        <v>411</v>
      </c>
      <c r="E6" s="385" t="s">
        <v>526</v>
      </c>
      <c r="F6" s="386" t="s">
        <v>527</v>
      </c>
    </row>
    <row r="7" spans="1:6" ht="16.5" thickBot="1">
      <c r="A7" s="387">
        <v>1</v>
      </c>
      <c r="B7" s="388">
        <v>2</v>
      </c>
      <c r="C7" s="389">
        <v>3</v>
      </c>
      <c r="D7" s="390" t="s">
        <v>488</v>
      </c>
      <c r="E7" s="391" t="s">
        <v>513</v>
      </c>
      <c r="F7" s="392" t="s">
        <v>515</v>
      </c>
    </row>
    <row r="8" spans="1:6" s="397" customFormat="1" ht="123.75" customHeight="1">
      <c r="A8" s="393" t="s">
        <v>5</v>
      </c>
      <c r="B8" s="394" t="s">
        <v>666</v>
      </c>
      <c r="C8" s="393" t="s">
        <v>667</v>
      </c>
      <c r="D8" s="395">
        <v>1</v>
      </c>
      <c r="E8" s="396"/>
      <c r="F8" s="396"/>
    </row>
    <row r="9" spans="1:6" s="397" customFormat="1" ht="53.25" customHeight="1">
      <c r="A9" s="393" t="s">
        <v>7</v>
      </c>
      <c r="B9" s="394" t="s">
        <v>887</v>
      </c>
      <c r="C9" s="393" t="s">
        <v>669</v>
      </c>
      <c r="D9" s="395">
        <v>1</v>
      </c>
      <c r="E9" s="396"/>
      <c r="F9" s="396"/>
    </row>
    <row r="10" spans="1:6" s="398" customFormat="1" ht="76.5">
      <c r="A10" s="393" t="s">
        <v>487</v>
      </c>
      <c r="B10" s="394" t="s">
        <v>670</v>
      </c>
      <c r="C10" s="393" t="s">
        <v>667</v>
      </c>
      <c r="D10" s="395">
        <v>1</v>
      </c>
      <c r="E10" s="396"/>
      <c r="F10" s="396"/>
    </row>
    <row r="11" spans="1:6" s="397" customFormat="1" ht="31.5" customHeight="1">
      <c r="A11" s="393" t="s">
        <v>488</v>
      </c>
      <c r="B11" s="394" t="s">
        <v>671</v>
      </c>
      <c r="C11" s="393" t="s">
        <v>669</v>
      </c>
      <c r="D11" s="395">
        <v>1</v>
      </c>
      <c r="E11" s="396"/>
      <c r="F11" s="396"/>
    </row>
    <row r="12" spans="1:6" s="398" customFormat="1" ht="62.25" customHeight="1">
      <c r="A12" s="393" t="s">
        <v>513</v>
      </c>
      <c r="B12" s="394" t="s">
        <v>888</v>
      </c>
      <c r="C12" s="393" t="s">
        <v>669</v>
      </c>
      <c r="D12" s="395">
        <v>1</v>
      </c>
      <c r="E12" s="396"/>
      <c r="F12" s="396"/>
    </row>
    <row r="13" spans="1:6" s="398" customFormat="1" ht="31.5" customHeight="1">
      <c r="A13" s="393" t="s">
        <v>515</v>
      </c>
      <c r="B13" s="394" t="s">
        <v>673</v>
      </c>
      <c r="C13" s="393" t="s">
        <v>674</v>
      </c>
      <c r="D13" s="395">
        <v>3</v>
      </c>
      <c r="E13" s="396"/>
      <c r="F13" s="396"/>
    </row>
    <row r="14" spans="1:6" s="398" customFormat="1" ht="31.5" customHeight="1">
      <c r="A14" s="393" t="s">
        <v>675</v>
      </c>
      <c r="B14" s="394" t="s">
        <v>676</v>
      </c>
      <c r="C14" s="393" t="s">
        <v>667</v>
      </c>
      <c r="D14" s="395">
        <v>2</v>
      </c>
      <c r="E14" s="396"/>
      <c r="F14" s="396"/>
    </row>
    <row r="15" spans="1:6" s="398" customFormat="1" ht="22.5" customHeight="1">
      <c r="A15" s="393" t="s">
        <v>686</v>
      </c>
      <c r="B15" s="401" t="s">
        <v>677</v>
      </c>
      <c r="C15" s="393" t="s">
        <v>667</v>
      </c>
      <c r="D15" s="402">
        <v>1</v>
      </c>
      <c r="E15" s="403"/>
      <c r="F15" s="396"/>
    </row>
    <row r="16" spans="1:6" s="398" customFormat="1" ht="20.25" customHeight="1">
      <c r="A16" s="404"/>
      <c r="B16" s="404" t="s">
        <v>407</v>
      </c>
      <c r="C16" s="404"/>
      <c r="D16" s="405"/>
      <c r="E16" s="406"/>
      <c r="F16" s="407">
        <f>SUM(F8:F15)</f>
        <v>0</v>
      </c>
    </row>
  </sheetData>
  <protectedRanges>
    <protectedRange sqref="B10:D10 B8:D8" name="Диапазон1_1"/>
  </protectedRanges>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5"/>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7" s="199" customFormat="1" ht="32.25" customHeight="1">
      <c r="A1" s="231" t="str">
        <f>'N2-3'!A1:F1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858</v>
      </c>
      <c r="B3" s="330"/>
      <c r="C3" s="330"/>
      <c r="D3" s="330"/>
      <c r="E3" s="330"/>
      <c r="F3" s="330"/>
    </row>
    <row r="4" spans="1:7" s="335" customFormat="1" ht="20.25" customHeight="1">
      <c r="A4" s="377" t="s">
        <v>889</v>
      </c>
      <c r="B4" s="377"/>
      <c r="C4" s="377"/>
      <c r="D4" s="377"/>
      <c r="E4" s="377"/>
      <c r="F4" s="377"/>
      <c r="G4" s="378"/>
    </row>
    <row r="5" spans="1:7" s="199" customFormat="1" ht="19.5" customHeight="1" thickBot="1">
      <c r="A5" s="379" t="s">
        <v>512</v>
      </c>
      <c r="B5" s="379"/>
      <c r="C5" s="379"/>
      <c r="D5" s="379"/>
      <c r="E5" s="379"/>
      <c r="F5" s="379"/>
      <c r="G5" s="380"/>
    </row>
    <row r="6" spans="1:7" ht="87.6" customHeight="1" thickBot="1">
      <c r="A6" s="381" t="s">
        <v>523</v>
      </c>
      <c r="B6" s="382" t="s">
        <v>524</v>
      </c>
      <c r="C6" s="383" t="s">
        <v>525</v>
      </c>
      <c r="D6" s="384" t="s">
        <v>411</v>
      </c>
      <c r="E6" s="385" t="s">
        <v>526</v>
      </c>
      <c r="F6" s="386" t="s">
        <v>527</v>
      </c>
    </row>
    <row r="7" spans="1:7" ht="16.5" thickBot="1">
      <c r="A7" s="387">
        <v>1</v>
      </c>
      <c r="B7" s="388">
        <v>2</v>
      </c>
      <c r="C7" s="389">
        <v>3</v>
      </c>
      <c r="D7" s="390" t="s">
        <v>488</v>
      </c>
      <c r="E7" s="391" t="s">
        <v>513</v>
      </c>
      <c r="F7" s="392" t="s">
        <v>515</v>
      </c>
    </row>
    <row r="8" spans="1:7" s="397" customFormat="1" ht="73.5" customHeight="1">
      <c r="A8" s="393" t="s">
        <v>5</v>
      </c>
      <c r="B8" s="394" t="s">
        <v>679</v>
      </c>
      <c r="C8" s="393" t="s">
        <v>674</v>
      </c>
      <c r="D8" s="395">
        <v>1</v>
      </c>
      <c r="E8" s="396"/>
      <c r="F8" s="396"/>
    </row>
    <row r="9" spans="1:7" s="397" customFormat="1" ht="53.25" customHeight="1">
      <c r="A9" s="393" t="s">
        <v>7</v>
      </c>
      <c r="B9" s="394" t="s">
        <v>680</v>
      </c>
      <c r="C9" s="393" t="s">
        <v>674</v>
      </c>
      <c r="D9" s="395">
        <v>1</v>
      </c>
      <c r="E9" s="396"/>
      <c r="F9" s="396"/>
    </row>
    <row r="10" spans="1:7" s="398" customFormat="1" ht="13.5">
      <c r="A10" s="393" t="s">
        <v>487</v>
      </c>
      <c r="B10" s="394" t="s">
        <v>681</v>
      </c>
      <c r="C10" s="393" t="s">
        <v>674</v>
      </c>
      <c r="D10" s="395">
        <v>26</v>
      </c>
      <c r="E10" s="396"/>
      <c r="F10" s="396"/>
    </row>
    <row r="11" spans="1:7" s="397" customFormat="1" ht="30.75" customHeight="1">
      <c r="A11" s="393" t="s">
        <v>488</v>
      </c>
      <c r="B11" s="394" t="s">
        <v>682</v>
      </c>
      <c r="C11" s="393" t="s">
        <v>674</v>
      </c>
      <c r="D11" s="395">
        <v>26</v>
      </c>
      <c r="E11" s="396"/>
      <c r="F11" s="396"/>
    </row>
    <row r="12" spans="1:7" s="398" customFormat="1" ht="52.5" customHeight="1">
      <c r="A12" s="393" t="s">
        <v>513</v>
      </c>
      <c r="B12" s="394" t="s">
        <v>683</v>
      </c>
      <c r="C12" s="393" t="s">
        <v>674</v>
      </c>
      <c r="D12" s="395">
        <v>1</v>
      </c>
      <c r="E12" s="396"/>
      <c r="F12" s="396"/>
    </row>
    <row r="13" spans="1:7" s="398" customFormat="1" ht="69" customHeight="1">
      <c r="A13" s="393" t="s">
        <v>515</v>
      </c>
      <c r="B13" s="394" t="s">
        <v>684</v>
      </c>
      <c r="C13" s="393" t="s">
        <v>674</v>
      </c>
      <c r="D13" s="395">
        <v>1</v>
      </c>
      <c r="E13" s="396"/>
      <c r="F13" s="396"/>
    </row>
    <row r="14" spans="1:7" s="398" customFormat="1" ht="22.5" customHeight="1">
      <c r="A14" s="393" t="s">
        <v>675</v>
      </c>
      <c r="B14" s="394" t="s">
        <v>685</v>
      </c>
      <c r="C14" s="393" t="s">
        <v>674</v>
      </c>
      <c r="D14" s="395">
        <v>12</v>
      </c>
      <c r="E14" s="396"/>
      <c r="F14" s="396"/>
      <c r="G14" s="399"/>
    </row>
    <row r="15" spans="1:7" s="398" customFormat="1" ht="22.5" customHeight="1">
      <c r="A15" s="393" t="s">
        <v>686</v>
      </c>
      <c r="B15" s="394" t="s">
        <v>687</v>
      </c>
      <c r="C15" s="393" t="s">
        <v>674</v>
      </c>
      <c r="D15" s="395">
        <v>1</v>
      </c>
      <c r="E15" s="396"/>
      <c r="F15" s="396"/>
    </row>
    <row r="16" spans="1:7" s="398" customFormat="1" ht="20.25" customHeight="1">
      <c r="A16" s="393" t="s">
        <v>688</v>
      </c>
      <c r="B16" s="394" t="s">
        <v>689</v>
      </c>
      <c r="C16" s="393" t="s">
        <v>674</v>
      </c>
      <c r="D16" s="395">
        <v>3</v>
      </c>
      <c r="E16" s="396"/>
      <c r="F16" s="396"/>
    </row>
    <row r="17" spans="1:6" ht="38.25">
      <c r="A17" s="393" t="s">
        <v>690</v>
      </c>
      <c r="B17" s="394" t="s">
        <v>691</v>
      </c>
      <c r="C17" s="393" t="s">
        <v>674</v>
      </c>
      <c r="D17" s="395">
        <v>3</v>
      </c>
      <c r="E17" s="396"/>
      <c r="F17" s="396"/>
    </row>
    <row r="18" spans="1:6" ht="25.5">
      <c r="A18" s="393" t="s">
        <v>692</v>
      </c>
      <c r="B18" s="394" t="s">
        <v>693</v>
      </c>
      <c r="C18" s="393" t="s">
        <v>674</v>
      </c>
      <c r="D18" s="395">
        <v>3</v>
      </c>
      <c r="E18" s="396"/>
      <c r="F18" s="396"/>
    </row>
    <row r="19" spans="1:6" ht="242.25">
      <c r="A19" s="393" t="s">
        <v>694</v>
      </c>
      <c r="B19" s="394" t="s">
        <v>695</v>
      </c>
      <c r="C19" s="393" t="s">
        <v>667</v>
      </c>
      <c r="D19" s="395">
        <v>2</v>
      </c>
      <c r="E19" s="396"/>
      <c r="F19" s="396"/>
    </row>
    <row r="20" spans="1:6">
      <c r="A20" s="393" t="s">
        <v>696</v>
      </c>
      <c r="B20" s="410" t="s">
        <v>676</v>
      </c>
      <c r="C20" s="393" t="s">
        <v>667</v>
      </c>
      <c r="D20" s="395">
        <v>1</v>
      </c>
      <c r="E20" s="396"/>
      <c r="F20" s="396"/>
    </row>
    <row r="21" spans="1:6" ht="51">
      <c r="A21" s="393" t="s">
        <v>697</v>
      </c>
      <c r="B21" s="394" t="s">
        <v>890</v>
      </c>
      <c r="C21" s="393" t="s">
        <v>667</v>
      </c>
      <c r="D21" s="395">
        <v>1</v>
      </c>
      <c r="E21" s="396"/>
      <c r="F21" s="396"/>
    </row>
    <row r="22" spans="1:6">
      <c r="A22" s="393" t="s">
        <v>699</v>
      </c>
      <c r="B22" s="410" t="s">
        <v>676</v>
      </c>
      <c r="C22" s="393" t="s">
        <v>667</v>
      </c>
      <c r="D22" s="395">
        <v>1</v>
      </c>
      <c r="E22" s="396"/>
      <c r="F22" s="396"/>
    </row>
    <row r="23" spans="1:6" ht="89.25">
      <c r="A23" s="393" t="s">
        <v>700</v>
      </c>
      <c r="B23" s="394" t="s">
        <v>701</v>
      </c>
      <c r="C23" s="393" t="s">
        <v>667</v>
      </c>
      <c r="D23" s="395">
        <v>1</v>
      </c>
      <c r="E23" s="396"/>
      <c r="F23" s="396"/>
    </row>
    <row r="24" spans="1:6" s="398" customFormat="1" ht="22.5" customHeight="1">
      <c r="A24" s="400">
        <v>17</v>
      </c>
      <c r="B24" s="401" t="s">
        <v>702</v>
      </c>
      <c r="C24" s="393" t="s">
        <v>667</v>
      </c>
      <c r="D24" s="402">
        <v>1</v>
      </c>
      <c r="E24" s="403"/>
      <c r="F24" s="396"/>
    </row>
    <row r="25" spans="1:6" s="398" customFormat="1" ht="20.25" customHeight="1">
      <c r="A25" s="404"/>
      <c r="B25" s="404" t="s">
        <v>407</v>
      </c>
      <c r="C25" s="404"/>
      <c r="D25" s="405"/>
      <c r="E25" s="406"/>
      <c r="F25" s="407">
        <f>SUM(F8:F24)</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13"/>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7" s="199" customFormat="1" ht="32.25" customHeight="1">
      <c r="A1" s="231" t="str">
        <f>'N2-4'!A1:F1</f>
        <v>yazbegis, aragvis, fSav-xevsureTisa da TuSeTis dacul teritoriebze arsebuli 7 qoxis saxarjTaRricxvo dokumentacia.</v>
      </c>
      <c r="B1" s="198"/>
      <c r="C1" s="198"/>
      <c r="D1" s="198"/>
      <c r="E1" s="198"/>
      <c r="F1" s="198"/>
    </row>
    <row r="2" spans="1:7" s="376" customFormat="1" ht="13.5" customHeight="1">
      <c r="A2" s="375" t="s">
        <v>664</v>
      </c>
      <c r="B2" s="375"/>
      <c r="C2" s="375"/>
      <c r="D2" s="375"/>
      <c r="E2" s="375"/>
      <c r="F2" s="375"/>
    </row>
    <row r="3" spans="1:7" s="376" customFormat="1" ht="19.5" customHeight="1">
      <c r="A3" s="330" t="s">
        <v>858</v>
      </c>
      <c r="B3" s="330"/>
      <c r="C3" s="330"/>
      <c r="D3" s="330"/>
      <c r="E3" s="330"/>
      <c r="F3" s="330"/>
    </row>
    <row r="4" spans="1:7" s="335" customFormat="1" ht="20.25" customHeight="1">
      <c r="A4" s="377" t="s">
        <v>891</v>
      </c>
      <c r="B4" s="377"/>
      <c r="C4" s="377"/>
      <c r="D4" s="377"/>
      <c r="E4" s="377"/>
      <c r="F4" s="377"/>
      <c r="G4" s="378"/>
    </row>
    <row r="5" spans="1:7" s="199" customFormat="1" ht="19.5" customHeight="1" thickBot="1">
      <c r="A5" s="379" t="s">
        <v>514</v>
      </c>
      <c r="B5" s="379"/>
      <c r="C5" s="379"/>
      <c r="D5" s="379"/>
      <c r="E5" s="379"/>
      <c r="F5" s="379"/>
      <c r="G5" s="380"/>
    </row>
    <row r="6" spans="1:7" ht="87.6" customHeight="1">
      <c r="A6" s="381" t="s">
        <v>523</v>
      </c>
      <c r="B6" s="382" t="s">
        <v>524</v>
      </c>
      <c r="C6" s="383" t="s">
        <v>525</v>
      </c>
      <c r="D6" s="384" t="s">
        <v>411</v>
      </c>
      <c r="E6" s="385" t="s">
        <v>526</v>
      </c>
      <c r="F6" s="386" t="s">
        <v>527</v>
      </c>
    </row>
    <row r="7" spans="1:7">
      <c r="A7" s="411">
        <v>1</v>
      </c>
      <c r="B7" s="411">
        <v>2</v>
      </c>
      <c r="C7" s="412">
        <v>3</v>
      </c>
      <c r="D7" s="413" t="s">
        <v>488</v>
      </c>
      <c r="E7" s="414" t="s">
        <v>513</v>
      </c>
      <c r="F7" s="413" t="s">
        <v>515</v>
      </c>
    </row>
    <row r="8" spans="1:7" s="397" customFormat="1" ht="28.5" customHeight="1">
      <c r="A8" s="393" t="s">
        <v>5</v>
      </c>
      <c r="B8" s="415" t="s">
        <v>704</v>
      </c>
      <c r="C8" s="416" t="s">
        <v>705</v>
      </c>
      <c r="D8" s="417">
        <v>295</v>
      </c>
      <c r="E8" s="418"/>
      <c r="F8" s="419"/>
    </row>
    <row r="9" spans="1:7" s="397" customFormat="1" ht="21.75" customHeight="1">
      <c r="A9" s="393" t="s">
        <v>7</v>
      </c>
      <c r="B9" s="420" t="s">
        <v>706</v>
      </c>
      <c r="C9" s="393" t="s">
        <v>707</v>
      </c>
      <c r="D9" s="417">
        <v>240</v>
      </c>
      <c r="E9" s="421"/>
      <c r="F9" s="419"/>
    </row>
    <row r="10" spans="1:7" s="398" customFormat="1" ht="42" customHeight="1">
      <c r="A10" s="393" t="s">
        <v>487</v>
      </c>
      <c r="B10" s="420" t="s">
        <v>708</v>
      </c>
      <c r="C10" s="393" t="s">
        <v>709</v>
      </c>
      <c r="D10" s="395">
        <v>55</v>
      </c>
      <c r="E10" s="396"/>
      <c r="F10" s="396"/>
    </row>
    <row r="11" spans="1:7" s="397" customFormat="1" ht="28.5" customHeight="1">
      <c r="A11" s="422">
        <f t="shared" ref="A11:A74" si="0">A10+1</f>
        <v>4</v>
      </c>
      <c r="B11" s="394" t="s">
        <v>892</v>
      </c>
      <c r="C11" s="393" t="s">
        <v>711</v>
      </c>
      <c r="D11" s="395">
        <v>350</v>
      </c>
      <c r="E11" s="396"/>
      <c r="F11" s="396"/>
    </row>
    <row r="12" spans="1:7" s="397" customFormat="1" ht="21.75" customHeight="1">
      <c r="A12" s="422">
        <f t="shared" si="0"/>
        <v>5</v>
      </c>
      <c r="B12" s="394" t="s">
        <v>893</v>
      </c>
      <c r="C12" s="393" t="s">
        <v>711</v>
      </c>
      <c r="D12" s="395">
        <v>5</v>
      </c>
      <c r="E12" s="396"/>
      <c r="F12" s="396"/>
    </row>
    <row r="13" spans="1:7" s="398" customFormat="1" ht="21.75" customHeight="1">
      <c r="A13" s="422">
        <f t="shared" si="0"/>
        <v>6</v>
      </c>
      <c r="B13" s="394" t="s">
        <v>894</v>
      </c>
      <c r="C13" s="393" t="s">
        <v>711</v>
      </c>
      <c r="D13" s="395">
        <v>22</v>
      </c>
      <c r="E13" s="396"/>
      <c r="F13" s="396"/>
    </row>
    <row r="14" spans="1:7" s="397" customFormat="1" ht="21.75" customHeight="1">
      <c r="A14" s="422">
        <f t="shared" si="0"/>
        <v>7</v>
      </c>
      <c r="B14" s="394" t="s">
        <v>895</v>
      </c>
      <c r="C14" s="393" t="s">
        <v>711</v>
      </c>
      <c r="D14" s="395">
        <v>20</v>
      </c>
      <c r="E14" s="396"/>
      <c r="F14" s="396"/>
    </row>
    <row r="15" spans="1:7" s="398" customFormat="1" ht="21.75" customHeight="1">
      <c r="A15" s="422">
        <f t="shared" si="0"/>
        <v>8</v>
      </c>
      <c r="B15" s="394" t="s">
        <v>896</v>
      </c>
      <c r="C15" s="393" t="s">
        <v>51</v>
      </c>
      <c r="D15" s="395">
        <v>1</v>
      </c>
      <c r="E15" s="396"/>
      <c r="F15" s="396"/>
    </row>
    <row r="16" spans="1:7" s="398" customFormat="1" ht="21.75" customHeight="1">
      <c r="A16" s="422">
        <f t="shared" si="0"/>
        <v>9</v>
      </c>
      <c r="B16" s="394" t="s">
        <v>897</v>
      </c>
      <c r="C16" s="393" t="s">
        <v>51</v>
      </c>
      <c r="D16" s="495">
        <v>36.666666666666671</v>
      </c>
      <c r="E16" s="396"/>
      <c r="F16" s="396"/>
      <c r="G16" s="399"/>
    </row>
    <row r="17" spans="1:6" s="398" customFormat="1" ht="21.75" customHeight="1">
      <c r="A17" s="422">
        <f t="shared" si="0"/>
        <v>10</v>
      </c>
      <c r="B17" s="394" t="s">
        <v>898</v>
      </c>
      <c r="C17" s="393" t="s">
        <v>51</v>
      </c>
      <c r="D17" s="495">
        <v>33.333333333333336</v>
      </c>
      <c r="E17" s="396"/>
      <c r="F17" s="396"/>
    </row>
    <row r="18" spans="1:6" s="398" customFormat="1" ht="21.75" customHeight="1">
      <c r="A18" s="422">
        <f t="shared" si="0"/>
        <v>11</v>
      </c>
      <c r="B18" s="394" t="s">
        <v>899</v>
      </c>
      <c r="C18" s="393" t="s">
        <v>711</v>
      </c>
      <c r="D18" s="395">
        <v>5</v>
      </c>
      <c r="E18" s="396"/>
      <c r="F18" s="396"/>
    </row>
    <row r="19" spans="1:6" ht="21.75" customHeight="1">
      <c r="A19" s="422">
        <f t="shared" si="0"/>
        <v>12</v>
      </c>
      <c r="B19" s="394" t="s">
        <v>900</v>
      </c>
      <c r="C19" s="393" t="s">
        <v>711</v>
      </c>
      <c r="D19" s="395">
        <v>22</v>
      </c>
      <c r="E19" s="396"/>
      <c r="F19" s="396"/>
    </row>
    <row r="20" spans="1:6" ht="21.75" customHeight="1">
      <c r="A20" s="422">
        <f t="shared" si="0"/>
        <v>13</v>
      </c>
      <c r="B20" s="394" t="s">
        <v>901</v>
      </c>
      <c r="C20" s="393" t="s">
        <v>711</v>
      </c>
      <c r="D20" s="395">
        <v>20</v>
      </c>
      <c r="E20" s="396"/>
      <c r="F20" s="396"/>
    </row>
    <row r="21" spans="1:6" ht="21.75" customHeight="1">
      <c r="A21" s="422">
        <f t="shared" si="0"/>
        <v>14</v>
      </c>
      <c r="B21" s="394" t="s">
        <v>902</v>
      </c>
      <c r="C21" s="393" t="s">
        <v>824</v>
      </c>
      <c r="D21" s="395">
        <v>22</v>
      </c>
      <c r="E21" s="396"/>
      <c r="F21" s="396"/>
    </row>
    <row r="22" spans="1:6" ht="21.75" customHeight="1">
      <c r="A22" s="422">
        <f t="shared" si="0"/>
        <v>15</v>
      </c>
      <c r="B22" s="394" t="s">
        <v>903</v>
      </c>
      <c r="C22" s="393" t="s">
        <v>824</v>
      </c>
      <c r="D22" s="395">
        <v>15</v>
      </c>
      <c r="E22" s="396"/>
      <c r="F22" s="396"/>
    </row>
    <row r="23" spans="1:6" ht="21.75" customHeight="1">
      <c r="A23" s="422">
        <f t="shared" si="0"/>
        <v>16</v>
      </c>
      <c r="B23" s="394" t="s">
        <v>904</v>
      </c>
      <c r="C23" s="393" t="s">
        <v>51</v>
      </c>
      <c r="D23" s="395">
        <v>1</v>
      </c>
      <c r="E23" s="396"/>
      <c r="F23" s="396"/>
    </row>
    <row r="24" spans="1:6" ht="21.75" customHeight="1">
      <c r="A24" s="422">
        <f t="shared" si="0"/>
        <v>17</v>
      </c>
      <c r="B24" s="394" t="s">
        <v>905</v>
      </c>
      <c r="C24" s="393" t="s">
        <v>51</v>
      </c>
      <c r="D24" s="495">
        <v>36.666666666666671</v>
      </c>
      <c r="E24" s="396"/>
      <c r="F24" s="396"/>
    </row>
    <row r="25" spans="1:6" ht="21.75" customHeight="1">
      <c r="A25" s="422">
        <f t="shared" si="0"/>
        <v>18</v>
      </c>
      <c r="B25" s="394" t="s">
        <v>906</v>
      </c>
      <c r="C25" s="393" t="s">
        <v>51</v>
      </c>
      <c r="D25" s="395">
        <v>25</v>
      </c>
      <c r="E25" s="396"/>
      <c r="F25" s="396"/>
    </row>
    <row r="26" spans="1:6" ht="21.75" customHeight="1">
      <c r="A26" s="422">
        <f t="shared" si="0"/>
        <v>19</v>
      </c>
      <c r="B26" s="394" t="s">
        <v>907</v>
      </c>
      <c r="C26" s="393" t="s">
        <v>824</v>
      </c>
      <c r="D26" s="395">
        <v>22</v>
      </c>
      <c r="E26" s="396"/>
      <c r="F26" s="396"/>
    </row>
    <row r="27" spans="1:6" ht="21.75" customHeight="1">
      <c r="A27" s="422">
        <f t="shared" si="0"/>
        <v>20</v>
      </c>
      <c r="B27" s="394" t="s">
        <v>908</v>
      </c>
      <c r="C27" s="393" t="s">
        <v>824</v>
      </c>
      <c r="D27" s="395">
        <v>15</v>
      </c>
      <c r="E27" s="396"/>
      <c r="F27" s="396"/>
    </row>
    <row r="28" spans="1:6" ht="21.75" customHeight="1">
      <c r="A28" s="422">
        <f t="shared" si="0"/>
        <v>21</v>
      </c>
      <c r="B28" s="394" t="s">
        <v>909</v>
      </c>
      <c r="C28" s="393" t="s">
        <v>51</v>
      </c>
      <c r="D28" s="395">
        <v>3</v>
      </c>
      <c r="E28" s="396"/>
      <c r="F28" s="396"/>
    </row>
    <row r="29" spans="1:6" ht="21.75" customHeight="1">
      <c r="A29" s="422">
        <f t="shared" si="0"/>
        <v>22</v>
      </c>
      <c r="B29" s="394" t="s">
        <v>910</v>
      </c>
      <c r="C29" s="393" t="s">
        <v>51</v>
      </c>
      <c r="D29" s="395">
        <v>4</v>
      </c>
      <c r="E29" s="396"/>
      <c r="F29" s="396"/>
    </row>
    <row r="30" spans="1:6" ht="21.75" customHeight="1">
      <c r="A30" s="422">
        <f t="shared" si="0"/>
        <v>23</v>
      </c>
      <c r="B30" s="394" t="s">
        <v>911</v>
      </c>
      <c r="C30" s="393" t="s">
        <v>51</v>
      </c>
      <c r="D30" s="395">
        <v>20</v>
      </c>
      <c r="E30" s="396"/>
      <c r="F30" s="396"/>
    </row>
    <row r="31" spans="1:6" ht="21.75" customHeight="1">
      <c r="A31" s="422">
        <f t="shared" si="0"/>
        <v>24</v>
      </c>
      <c r="B31" s="394" t="s">
        <v>912</v>
      </c>
      <c r="C31" s="393" t="s">
        <v>51</v>
      </c>
      <c r="D31" s="395">
        <v>30</v>
      </c>
      <c r="E31" s="396"/>
      <c r="F31" s="396"/>
    </row>
    <row r="32" spans="1:6" ht="21.75" customHeight="1">
      <c r="A32" s="422">
        <f t="shared" si="0"/>
        <v>25</v>
      </c>
      <c r="B32" s="394" t="s">
        <v>913</v>
      </c>
      <c r="C32" s="393" t="s">
        <v>51</v>
      </c>
      <c r="D32" s="395">
        <v>30</v>
      </c>
      <c r="E32" s="396"/>
      <c r="F32" s="396"/>
    </row>
    <row r="33" spans="1:6" ht="21.75" customHeight="1">
      <c r="A33" s="422">
        <f t="shared" si="0"/>
        <v>26</v>
      </c>
      <c r="B33" s="394" t="s">
        <v>914</v>
      </c>
      <c r="C33" s="393" t="s">
        <v>51</v>
      </c>
      <c r="D33" s="395">
        <v>4</v>
      </c>
      <c r="E33" s="396"/>
      <c r="F33" s="396"/>
    </row>
    <row r="34" spans="1:6" ht="21.75" customHeight="1">
      <c r="A34" s="422">
        <f t="shared" si="0"/>
        <v>27</v>
      </c>
      <c r="B34" s="394" t="s">
        <v>915</v>
      </c>
      <c r="C34" s="393" t="s">
        <v>51</v>
      </c>
      <c r="D34" s="395">
        <v>5</v>
      </c>
      <c r="E34" s="396"/>
      <c r="F34" s="396"/>
    </row>
    <row r="35" spans="1:6" ht="21.75" customHeight="1">
      <c r="A35" s="422">
        <f t="shared" si="0"/>
        <v>28</v>
      </c>
      <c r="B35" s="394" t="s">
        <v>916</v>
      </c>
      <c r="C35" s="393" t="s">
        <v>51</v>
      </c>
      <c r="D35" s="395">
        <v>10</v>
      </c>
      <c r="E35" s="396"/>
      <c r="F35" s="396"/>
    </row>
    <row r="36" spans="1:6" ht="21.75" customHeight="1">
      <c r="A36" s="422">
        <f t="shared" si="0"/>
        <v>29</v>
      </c>
      <c r="B36" s="394" t="s">
        <v>917</v>
      </c>
      <c r="C36" s="393" t="s">
        <v>51</v>
      </c>
      <c r="D36" s="395">
        <v>10</v>
      </c>
      <c r="E36" s="396"/>
      <c r="F36" s="396"/>
    </row>
    <row r="37" spans="1:6" ht="21.75" customHeight="1">
      <c r="A37" s="422">
        <f t="shared" si="0"/>
        <v>30</v>
      </c>
      <c r="B37" s="394" t="s">
        <v>737</v>
      </c>
      <c r="C37" s="393" t="s">
        <v>51</v>
      </c>
      <c r="D37" s="395">
        <v>2</v>
      </c>
      <c r="E37" s="396"/>
      <c r="F37" s="396"/>
    </row>
    <row r="38" spans="1:6" ht="21.75" customHeight="1">
      <c r="A38" s="422">
        <f t="shared" si="0"/>
        <v>31</v>
      </c>
      <c r="B38" s="394" t="s">
        <v>738</v>
      </c>
      <c r="C38" s="393" t="s">
        <v>51</v>
      </c>
      <c r="D38" s="395">
        <v>4</v>
      </c>
      <c r="E38" s="396"/>
      <c r="F38" s="396"/>
    </row>
    <row r="39" spans="1:6" ht="21.75" customHeight="1">
      <c r="A39" s="422">
        <f t="shared" si="0"/>
        <v>32</v>
      </c>
      <c r="B39" s="394" t="s">
        <v>739</v>
      </c>
      <c r="C39" s="393" t="s">
        <v>51</v>
      </c>
      <c r="D39" s="395">
        <v>15</v>
      </c>
      <c r="E39" s="396"/>
      <c r="F39" s="396"/>
    </row>
    <row r="40" spans="1:6" ht="21.75" customHeight="1">
      <c r="A40" s="422">
        <f t="shared" si="0"/>
        <v>33</v>
      </c>
      <c r="B40" s="394" t="s">
        <v>740</v>
      </c>
      <c r="C40" s="393" t="s">
        <v>51</v>
      </c>
      <c r="D40" s="395">
        <v>10</v>
      </c>
      <c r="E40" s="396"/>
      <c r="F40" s="396"/>
    </row>
    <row r="41" spans="1:6" ht="21.75" customHeight="1">
      <c r="A41" s="422">
        <f t="shared" si="0"/>
        <v>34</v>
      </c>
      <c r="B41" s="394" t="s">
        <v>741</v>
      </c>
      <c r="C41" s="393" t="s">
        <v>51</v>
      </c>
      <c r="D41" s="395">
        <v>15</v>
      </c>
      <c r="E41" s="396"/>
      <c r="F41" s="396"/>
    </row>
    <row r="42" spans="1:6" ht="21.75" customHeight="1">
      <c r="A42" s="422">
        <f t="shared" si="0"/>
        <v>35</v>
      </c>
      <c r="B42" s="394" t="s">
        <v>742</v>
      </c>
      <c r="C42" s="393" t="s">
        <v>51</v>
      </c>
      <c r="D42" s="395">
        <v>4</v>
      </c>
      <c r="E42" s="396"/>
      <c r="F42" s="396"/>
    </row>
    <row r="43" spans="1:6" ht="21.75" customHeight="1">
      <c r="A43" s="422">
        <f t="shared" si="0"/>
        <v>36</v>
      </c>
      <c r="B43" s="394" t="s">
        <v>743</v>
      </c>
      <c r="C43" s="393" t="s">
        <v>51</v>
      </c>
      <c r="D43" s="395">
        <v>10</v>
      </c>
      <c r="E43" s="396"/>
      <c r="F43" s="396"/>
    </row>
    <row r="44" spans="1:6" ht="21.75" customHeight="1">
      <c r="A44" s="422">
        <f t="shared" si="0"/>
        <v>37</v>
      </c>
      <c r="B44" s="394" t="s">
        <v>744</v>
      </c>
      <c r="C44" s="393" t="s">
        <v>51</v>
      </c>
      <c r="D44" s="395">
        <v>10</v>
      </c>
      <c r="E44" s="396"/>
      <c r="F44" s="396"/>
    </row>
    <row r="45" spans="1:6" ht="21.75" customHeight="1">
      <c r="A45" s="422">
        <f t="shared" si="0"/>
        <v>38</v>
      </c>
      <c r="B45" s="394" t="s">
        <v>745</v>
      </c>
      <c r="C45" s="393" t="s">
        <v>51</v>
      </c>
      <c r="D45" s="395">
        <v>20</v>
      </c>
      <c r="E45" s="396"/>
      <c r="F45" s="396"/>
    </row>
    <row r="46" spans="1:6" ht="21.75" customHeight="1">
      <c r="A46" s="422">
        <f t="shared" si="0"/>
        <v>39</v>
      </c>
      <c r="B46" s="394" t="s">
        <v>918</v>
      </c>
      <c r="C46" s="393" t="s">
        <v>51</v>
      </c>
      <c r="D46" s="395">
        <v>20</v>
      </c>
      <c r="E46" s="396"/>
      <c r="F46" s="396"/>
    </row>
    <row r="47" spans="1:6" ht="21.75" customHeight="1">
      <c r="A47" s="422">
        <f t="shared" si="0"/>
        <v>40</v>
      </c>
      <c r="B47" s="394" t="s">
        <v>747</v>
      </c>
      <c r="C47" s="393" t="s">
        <v>51</v>
      </c>
      <c r="D47" s="395">
        <v>15</v>
      </c>
      <c r="E47" s="396"/>
      <c r="F47" s="396"/>
    </row>
    <row r="48" spans="1:6" ht="21.75" customHeight="1">
      <c r="A48" s="422">
        <f t="shared" si="0"/>
        <v>41</v>
      </c>
      <c r="B48" s="394" t="s">
        <v>748</v>
      </c>
      <c r="C48" s="393" t="s">
        <v>51</v>
      </c>
      <c r="D48" s="395">
        <v>10</v>
      </c>
      <c r="E48" s="396"/>
      <c r="F48" s="396"/>
    </row>
    <row r="49" spans="1:6" ht="21.75" customHeight="1">
      <c r="A49" s="422">
        <f t="shared" si="0"/>
        <v>42</v>
      </c>
      <c r="B49" s="394" t="s">
        <v>749</v>
      </c>
      <c r="C49" s="393" t="s">
        <v>51</v>
      </c>
      <c r="D49" s="395">
        <v>15</v>
      </c>
      <c r="E49" s="396"/>
      <c r="F49" s="396"/>
    </row>
    <row r="50" spans="1:6" ht="21.75" customHeight="1">
      <c r="A50" s="422">
        <f t="shared" si="0"/>
        <v>43</v>
      </c>
      <c r="B50" s="394" t="s">
        <v>750</v>
      </c>
      <c r="C50" s="393" t="s">
        <v>51</v>
      </c>
      <c r="D50" s="395">
        <v>5</v>
      </c>
      <c r="E50" s="396"/>
      <c r="F50" s="396"/>
    </row>
    <row r="51" spans="1:6" ht="21.75" customHeight="1">
      <c r="A51" s="422">
        <f t="shared" si="0"/>
        <v>44</v>
      </c>
      <c r="B51" s="394" t="s">
        <v>751</v>
      </c>
      <c r="C51" s="393" t="s">
        <v>51</v>
      </c>
      <c r="D51" s="395">
        <v>20</v>
      </c>
      <c r="E51" s="396"/>
      <c r="F51" s="396"/>
    </row>
    <row r="52" spans="1:6" ht="21.75" customHeight="1">
      <c r="A52" s="422">
        <f t="shared" si="0"/>
        <v>45</v>
      </c>
      <c r="B52" s="394" t="s">
        <v>752</v>
      </c>
      <c r="C52" s="393" t="s">
        <v>51</v>
      </c>
      <c r="D52" s="395">
        <v>15</v>
      </c>
      <c r="E52" s="396"/>
      <c r="F52" s="396"/>
    </row>
    <row r="53" spans="1:6" ht="21.75" customHeight="1">
      <c r="A53" s="422">
        <f t="shared" si="0"/>
        <v>46</v>
      </c>
      <c r="B53" s="394" t="s">
        <v>753</v>
      </c>
      <c r="C53" s="393" t="s">
        <v>51</v>
      </c>
      <c r="D53" s="395">
        <v>15</v>
      </c>
      <c r="E53" s="396"/>
      <c r="F53" s="396"/>
    </row>
    <row r="54" spans="1:6" ht="21.75" customHeight="1">
      <c r="A54" s="422">
        <f t="shared" si="0"/>
        <v>47</v>
      </c>
      <c r="B54" s="394" t="s">
        <v>754</v>
      </c>
      <c r="C54" s="393" t="s">
        <v>51</v>
      </c>
      <c r="D54" s="395">
        <v>15</v>
      </c>
      <c r="E54" s="396"/>
      <c r="F54" s="396"/>
    </row>
    <row r="55" spans="1:6" ht="21.75" customHeight="1">
      <c r="A55" s="422">
        <f t="shared" si="0"/>
        <v>48</v>
      </c>
      <c r="B55" s="394" t="s">
        <v>919</v>
      </c>
      <c r="C55" s="393" t="s">
        <v>51</v>
      </c>
      <c r="D55" s="395">
        <v>10</v>
      </c>
      <c r="E55" s="396"/>
      <c r="F55" s="396"/>
    </row>
    <row r="56" spans="1:6" ht="21.75" customHeight="1">
      <c r="A56" s="422">
        <f t="shared" si="0"/>
        <v>49</v>
      </c>
      <c r="B56" s="394" t="s">
        <v>920</v>
      </c>
      <c r="C56" s="393" t="s">
        <v>51</v>
      </c>
      <c r="D56" s="395">
        <v>2</v>
      </c>
      <c r="E56" s="396"/>
      <c r="F56" s="396"/>
    </row>
    <row r="57" spans="1:6" ht="21.75" customHeight="1">
      <c r="A57" s="422">
        <f t="shared" si="0"/>
        <v>50</v>
      </c>
      <c r="B57" s="394" t="s">
        <v>921</v>
      </c>
      <c r="C57" s="393" t="s">
        <v>51</v>
      </c>
      <c r="D57" s="395">
        <v>4</v>
      </c>
      <c r="E57" s="396"/>
      <c r="F57" s="396"/>
    </row>
    <row r="58" spans="1:6" ht="21.75" customHeight="1">
      <c r="A58" s="422">
        <f t="shared" si="0"/>
        <v>51</v>
      </c>
      <c r="B58" s="394" t="s">
        <v>922</v>
      </c>
      <c r="C58" s="393" t="s">
        <v>51</v>
      </c>
      <c r="D58" s="395">
        <v>5</v>
      </c>
      <c r="E58" s="396"/>
      <c r="F58" s="396"/>
    </row>
    <row r="59" spans="1:6" ht="21.75" customHeight="1">
      <c r="A59" s="422">
        <f t="shared" si="0"/>
        <v>52</v>
      </c>
      <c r="B59" s="394" t="s">
        <v>923</v>
      </c>
      <c r="C59" s="393" t="s">
        <v>51</v>
      </c>
      <c r="D59" s="395">
        <v>8</v>
      </c>
      <c r="E59" s="396"/>
      <c r="F59" s="396"/>
    </row>
    <row r="60" spans="1:6" ht="21.75" customHeight="1">
      <c r="A60" s="422">
        <f t="shared" si="0"/>
        <v>53</v>
      </c>
      <c r="B60" s="394" t="s">
        <v>924</v>
      </c>
      <c r="C60" s="393" t="s">
        <v>51</v>
      </c>
      <c r="D60" s="395">
        <v>5</v>
      </c>
      <c r="E60" s="396"/>
      <c r="F60" s="396"/>
    </row>
    <row r="61" spans="1:6" ht="21.75" customHeight="1">
      <c r="A61" s="422">
        <f t="shared" si="0"/>
        <v>54</v>
      </c>
      <c r="B61" s="394" t="s">
        <v>925</v>
      </c>
      <c r="C61" s="393" t="s">
        <v>51</v>
      </c>
      <c r="D61" s="395">
        <v>2</v>
      </c>
      <c r="E61" s="396"/>
      <c r="F61" s="396"/>
    </row>
    <row r="62" spans="1:6" ht="21.75" customHeight="1">
      <c r="A62" s="422">
        <f t="shared" si="0"/>
        <v>55</v>
      </c>
      <c r="B62" s="394" t="s">
        <v>926</v>
      </c>
      <c r="C62" s="393" t="s">
        <v>51</v>
      </c>
      <c r="D62" s="395">
        <v>8</v>
      </c>
      <c r="E62" s="396"/>
      <c r="F62" s="396"/>
    </row>
    <row r="63" spans="1:6" ht="21.75" customHeight="1">
      <c r="A63" s="422">
        <f t="shared" si="0"/>
        <v>56</v>
      </c>
      <c r="B63" s="394" t="s">
        <v>927</v>
      </c>
      <c r="C63" s="393" t="s">
        <v>51</v>
      </c>
      <c r="D63" s="395">
        <v>16</v>
      </c>
      <c r="E63" s="396"/>
      <c r="F63" s="396"/>
    </row>
    <row r="64" spans="1:6" ht="21.75" customHeight="1">
      <c r="A64" s="422">
        <f t="shared" si="0"/>
        <v>57</v>
      </c>
      <c r="B64" s="394" t="s">
        <v>764</v>
      </c>
      <c r="C64" s="393" t="s">
        <v>51</v>
      </c>
      <c r="D64" s="395">
        <v>4</v>
      </c>
      <c r="E64" s="396"/>
      <c r="F64" s="396"/>
    </row>
    <row r="65" spans="1:6" ht="21.75" customHeight="1">
      <c r="A65" s="422">
        <f t="shared" si="0"/>
        <v>58</v>
      </c>
      <c r="B65" s="394" t="s">
        <v>928</v>
      </c>
      <c r="C65" s="393" t="s">
        <v>51</v>
      </c>
      <c r="D65" s="395">
        <v>2</v>
      </c>
      <c r="E65" s="396"/>
      <c r="F65" s="396"/>
    </row>
    <row r="66" spans="1:6" ht="21.75" customHeight="1">
      <c r="A66" s="422">
        <f t="shared" si="0"/>
        <v>59</v>
      </c>
      <c r="B66" s="394" t="s">
        <v>766</v>
      </c>
      <c r="C66" s="393" t="s">
        <v>51</v>
      </c>
      <c r="D66" s="395">
        <v>1</v>
      </c>
      <c r="E66" s="396"/>
      <c r="F66" s="396"/>
    </row>
    <row r="67" spans="1:6" ht="21.75" customHeight="1">
      <c r="A67" s="422">
        <f t="shared" si="0"/>
        <v>60</v>
      </c>
      <c r="B67" s="394" t="s">
        <v>767</v>
      </c>
      <c r="C67" s="393" t="s">
        <v>51</v>
      </c>
      <c r="D67" s="395">
        <v>2</v>
      </c>
      <c r="E67" s="396"/>
      <c r="F67" s="396"/>
    </row>
    <row r="68" spans="1:6" ht="21.75" customHeight="1">
      <c r="A68" s="422">
        <f t="shared" si="0"/>
        <v>61</v>
      </c>
      <c r="B68" s="394" t="s">
        <v>929</v>
      </c>
      <c r="C68" s="393" t="s">
        <v>711</v>
      </c>
      <c r="D68" s="395">
        <v>2.5</v>
      </c>
      <c r="E68" s="396"/>
      <c r="F68" s="396"/>
    </row>
    <row r="69" spans="1:6" ht="21.75" customHeight="1">
      <c r="A69" s="422">
        <f t="shared" si="0"/>
        <v>62</v>
      </c>
      <c r="B69" s="394" t="s">
        <v>769</v>
      </c>
      <c r="C69" s="393" t="s">
        <v>51</v>
      </c>
      <c r="D69" s="395">
        <v>3</v>
      </c>
      <c r="E69" s="396"/>
      <c r="F69" s="396"/>
    </row>
    <row r="70" spans="1:6" ht="21.75" customHeight="1">
      <c r="A70" s="422">
        <f t="shared" si="0"/>
        <v>63</v>
      </c>
      <c r="B70" s="394" t="s">
        <v>770</v>
      </c>
      <c r="C70" s="393" t="s">
        <v>771</v>
      </c>
      <c r="D70" s="395">
        <v>3</v>
      </c>
      <c r="E70" s="396"/>
      <c r="F70" s="396"/>
    </row>
    <row r="71" spans="1:6" ht="21.75" customHeight="1">
      <c r="A71" s="422">
        <f t="shared" si="0"/>
        <v>64</v>
      </c>
      <c r="B71" s="394" t="s">
        <v>772</v>
      </c>
      <c r="C71" s="393" t="s">
        <v>771</v>
      </c>
      <c r="D71" s="395">
        <v>3</v>
      </c>
      <c r="E71" s="396"/>
      <c r="F71" s="396"/>
    </row>
    <row r="72" spans="1:6" ht="21.75" customHeight="1">
      <c r="A72" s="422">
        <f t="shared" si="0"/>
        <v>65</v>
      </c>
      <c r="B72" s="394" t="s">
        <v>773</v>
      </c>
      <c r="C72" s="393" t="s">
        <v>51</v>
      </c>
      <c r="D72" s="395">
        <v>4</v>
      </c>
      <c r="E72" s="396"/>
      <c r="F72" s="396"/>
    </row>
    <row r="73" spans="1:6" ht="21.75" customHeight="1">
      <c r="A73" s="422">
        <f t="shared" si="0"/>
        <v>66</v>
      </c>
      <c r="B73" s="394" t="s">
        <v>774</v>
      </c>
      <c r="C73" s="393" t="s">
        <v>771</v>
      </c>
      <c r="D73" s="395">
        <v>5</v>
      </c>
      <c r="E73" s="396"/>
      <c r="F73" s="396"/>
    </row>
    <row r="74" spans="1:6" ht="21.75" customHeight="1">
      <c r="A74" s="422">
        <f t="shared" si="0"/>
        <v>67</v>
      </c>
      <c r="B74" s="394" t="s">
        <v>775</v>
      </c>
      <c r="C74" s="393" t="s">
        <v>771</v>
      </c>
      <c r="D74" s="395">
        <v>5</v>
      </c>
      <c r="E74" s="396"/>
      <c r="F74" s="396"/>
    </row>
    <row r="75" spans="1:6" ht="21.75" customHeight="1">
      <c r="A75" s="422">
        <f t="shared" ref="A75:A111" si="1">A74+1</f>
        <v>68</v>
      </c>
      <c r="B75" s="394" t="s">
        <v>776</v>
      </c>
      <c r="C75" s="393" t="s">
        <v>51</v>
      </c>
      <c r="D75" s="395">
        <v>3</v>
      </c>
      <c r="E75" s="396"/>
      <c r="F75" s="396"/>
    </row>
    <row r="76" spans="1:6" ht="21.75" customHeight="1">
      <c r="A76" s="422">
        <f t="shared" si="1"/>
        <v>69</v>
      </c>
      <c r="B76" s="394" t="s">
        <v>777</v>
      </c>
      <c r="C76" s="393" t="s">
        <v>771</v>
      </c>
      <c r="D76" s="395">
        <v>3</v>
      </c>
      <c r="E76" s="396"/>
      <c r="F76" s="396"/>
    </row>
    <row r="77" spans="1:6" ht="21.75" customHeight="1">
      <c r="A77" s="422">
        <f t="shared" si="1"/>
        <v>70</v>
      </c>
      <c r="B77" s="394" t="s">
        <v>778</v>
      </c>
      <c r="C77" s="393" t="s">
        <v>771</v>
      </c>
      <c r="D77" s="395">
        <v>3</v>
      </c>
      <c r="E77" s="396"/>
      <c r="F77" s="396"/>
    </row>
    <row r="78" spans="1:6" ht="21.75" customHeight="1">
      <c r="A78" s="422">
        <f t="shared" si="1"/>
        <v>71</v>
      </c>
      <c r="B78" s="394" t="s">
        <v>779</v>
      </c>
      <c r="C78" s="393" t="s">
        <v>51</v>
      </c>
      <c r="D78" s="395">
        <v>4</v>
      </c>
      <c r="E78" s="396"/>
      <c r="F78" s="396"/>
    </row>
    <row r="79" spans="1:6" ht="21.75" customHeight="1">
      <c r="A79" s="422">
        <f t="shared" si="1"/>
        <v>72</v>
      </c>
      <c r="B79" s="394" t="s">
        <v>780</v>
      </c>
      <c r="C79" s="393" t="s">
        <v>771</v>
      </c>
      <c r="D79" s="395">
        <v>5</v>
      </c>
      <c r="E79" s="396"/>
      <c r="F79" s="396"/>
    </row>
    <row r="80" spans="1:6" ht="21.75" customHeight="1">
      <c r="A80" s="422">
        <f t="shared" si="1"/>
        <v>73</v>
      </c>
      <c r="B80" s="394" t="s">
        <v>781</v>
      </c>
      <c r="C80" s="393" t="s">
        <v>51</v>
      </c>
      <c r="D80" s="395">
        <v>3</v>
      </c>
      <c r="E80" s="396"/>
      <c r="F80" s="396"/>
    </row>
    <row r="81" spans="1:6" ht="21.75" customHeight="1">
      <c r="A81" s="422">
        <f t="shared" si="1"/>
        <v>74</v>
      </c>
      <c r="B81" s="394" t="s">
        <v>782</v>
      </c>
      <c r="C81" s="393" t="s">
        <v>771</v>
      </c>
      <c r="D81" s="395">
        <v>3</v>
      </c>
      <c r="E81" s="396"/>
      <c r="F81" s="396"/>
    </row>
    <row r="82" spans="1:6" ht="21.75" customHeight="1">
      <c r="A82" s="422">
        <f t="shared" si="1"/>
        <v>75</v>
      </c>
      <c r="B82" s="394" t="s">
        <v>783</v>
      </c>
      <c r="C82" s="393" t="s">
        <v>51</v>
      </c>
      <c r="D82" s="395">
        <v>7</v>
      </c>
      <c r="E82" s="396"/>
      <c r="F82" s="396"/>
    </row>
    <row r="83" spans="1:6" ht="21.75" customHeight="1">
      <c r="A83" s="422">
        <f t="shared" si="1"/>
        <v>76</v>
      </c>
      <c r="B83" s="394" t="s">
        <v>784</v>
      </c>
      <c r="C83" s="393" t="s">
        <v>51</v>
      </c>
      <c r="D83" s="395">
        <v>1</v>
      </c>
      <c r="E83" s="396"/>
      <c r="F83" s="396"/>
    </row>
    <row r="84" spans="1:6" ht="21.75" customHeight="1">
      <c r="A84" s="422">
        <f t="shared" si="1"/>
        <v>77</v>
      </c>
      <c r="B84" s="394" t="s">
        <v>785</v>
      </c>
      <c r="C84" s="393" t="s">
        <v>51</v>
      </c>
      <c r="D84" s="395">
        <v>1</v>
      </c>
      <c r="E84" s="396"/>
      <c r="F84" s="396"/>
    </row>
    <row r="85" spans="1:6" ht="21.75" customHeight="1">
      <c r="A85" s="422">
        <f t="shared" si="1"/>
        <v>78</v>
      </c>
      <c r="B85" s="394" t="s">
        <v>786</v>
      </c>
      <c r="C85" s="393" t="s">
        <v>51</v>
      </c>
      <c r="D85" s="395">
        <v>1</v>
      </c>
      <c r="E85" s="396"/>
      <c r="F85" s="396"/>
    </row>
    <row r="86" spans="1:6" ht="21.75" customHeight="1">
      <c r="A86" s="422">
        <f t="shared" si="1"/>
        <v>79</v>
      </c>
      <c r="B86" s="394" t="s">
        <v>787</v>
      </c>
      <c r="C86" s="393" t="s">
        <v>771</v>
      </c>
      <c r="D86" s="395">
        <v>1</v>
      </c>
      <c r="E86" s="396"/>
      <c r="F86" s="396"/>
    </row>
    <row r="87" spans="1:6" ht="21.75" customHeight="1">
      <c r="A87" s="422">
        <f t="shared" si="1"/>
        <v>80</v>
      </c>
      <c r="B87" s="394" t="s">
        <v>788</v>
      </c>
      <c r="C87" s="393" t="s">
        <v>51</v>
      </c>
      <c r="D87" s="395">
        <v>1</v>
      </c>
      <c r="E87" s="396"/>
      <c r="F87" s="396"/>
    </row>
    <row r="88" spans="1:6" ht="21.75" customHeight="1">
      <c r="A88" s="422">
        <f t="shared" si="1"/>
        <v>81</v>
      </c>
      <c r="B88" s="394" t="s">
        <v>789</v>
      </c>
      <c r="C88" s="393" t="s">
        <v>51</v>
      </c>
      <c r="D88" s="395">
        <v>7</v>
      </c>
      <c r="E88" s="396"/>
      <c r="F88" s="396"/>
    </row>
    <row r="89" spans="1:6" ht="21.75" customHeight="1">
      <c r="A89" s="422">
        <f t="shared" si="1"/>
        <v>82</v>
      </c>
      <c r="B89" s="394" t="s">
        <v>790</v>
      </c>
      <c r="C89" s="393" t="s">
        <v>711</v>
      </c>
      <c r="D89" s="395">
        <v>20</v>
      </c>
      <c r="E89" s="396"/>
      <c r="F89" s="396"/>
    </row>
    <row r="90" spans="1:6" ht="21.75" customHeight="1">
      <c r="A90" s="422">
        <f t="shared" si="1"/>
        <v>83</v>
      </c>
      <c r="B90" s="394" t="s">
        <v>791</v>
      </c>
      <c r="C90" s="393" t="s">
        <v>771</v>
      </c>
      <c r="D90" s="395">
        <v>1</v>
      </c>
      <c r="E90" s="396"/>
      <c r="F90" s="396"/>
    </row>
    <row r="91" spans="1:6" ht="21.75" customHeight="1">
      <c r="A91" s="422">
        <f t="shared" si="1"/>
        <v>84</v>
      </c>
      <c r="B91" s="394" t="s">
        <v>792</v>
      </c>
      <c r="C91" s="393" t="s">
        <v>771</v>
      </c>
      <c r="D91" s="395">
        <v>1</v>
      </c>
      <c r="E91" s="396"/>
      <c r="F91" s="396"/>
    </row>
    <row r="92" spans="1:6" ht="21.75" customHeight="1">
      <c r="A92" s="422">
        <f t="shared" si="1"/>
        <v>85</v>
      </c>
      <c r="B92" s="394" t="s">
        <v>793</v>
      </c>
      <c r="C92" s="393" t="s">
        <v>794</v>
      </c>
      <c r="D92" s="395">
        <v>1</v>
      </c>
      <c r="E92" s="396"/>
      <c r="F92" s="396"/>
    </row>
    <row r="93" spans="1:6" ht="21.75" customHeight="1">
      <c r="A93" s="422">
        <f t="shared" si="1"/>
        <v>86</v>
      </c>
      <c r="B93" s="394" t="s">
        <v>795</v>
      </c>
      <c r="C93" s="393" t="s">
        <v>51</v>
      </c>
      <c r="D93" s="395">
        <v>2</v>
      </c>
      <c r="E93" s="396"/>
      <c r="F93" s="396"/>
    </row>
    <row r="94" spans="1:6" ht="21.75" customHeight="1">
      <c r="A94" s="422">
        <f t="shared" si="1"/>
        <v>87</v>
      </c>
      <c r="B94" s="394" t="s">
        <v>796</v>
      </c>
      <c r="C94" s="393" t="s">
        <v>771</v>
      </c>
      <c r="D94" s="395">
        <v>2</v>
      </c>
      <c r="E94" s="396"/>
      <c r="F94" s="396"/>
    </row>
    <row r="95" spans="1:6" ht="21.75" customHeight="1">
      <c r="A95" s="422">
        <f t="shared" si="1"/>
        <v>88</v>
      </c>
      <c r="B95" s="394" t="s">
        <v>797</v>
      </c>
      <c r="C95" s="393" t="s">
        <v>771</v>
      </c>
      <c r="D95" s="395">
        <v>1</v>
      </c>
      <c r="E95" s="396"/>
      <c r="F95" s="396"/>
    </row>
    <row r="96" spans="1:6" ht="21.75" customHeight="1">
      <c r="A96" s="422">
        <f t="shared" si="1"/>
        <v>89</v>
      </c>
      <c r="B96" s="394" t="s">
        <v>798</v>
      </c>
      <c r="C96" s="393" t="s">
        <v>51</v>
      </c>
      <c r="D96" s="395">
        <v>1</v>
      </c>
      <c r="E96" s="396"/>
      <c r="F96" s="396"/>
    </row>
    <row r="97" spans="1:6" ht="21.75" customHeight="1">
      <c r="A97" s="422">
        <f t="shared" si="1"/>
        <v>90</v>
      </c>
      <c r="B97" s="394" t="s">
        <v>799</v>
      </c>
      <c r="C97" s="393" t="s">
        <v>51</v>
      </c>
      <c r="D97" s="395">
        <v>1</v>
      </c>
      <c r="E97" s="396"/>
      <c r="F97" s="396"/>
    </row>
    <row r="98" spans="1:6" ht="21.75" customHeight="1">
      <c r="A98" s="422">
        <f t="shared" si="1"/>
        <v>91</v>
      </c>
      <c r="B98" s="394" t="s">
        <v>800</v>
      </c>
      <c r="C98" s="393" t="s">
        <v>51</v>
      </c>
      <c r="D98" s="395">
        <v>1</v>
      </c>
      <c r="E98" s="396"/>
      <c r="F98" s="396"/>
    </row>
    <row r="99" spans="1:6" ht="21.75" customHeight="1">
      <c r="A99" s="422">
        <f t="shared" si="1"/>
        <v>92</v>
      </c>
      <c r="B99" s="394" t="s">
        <v>801</v>
      </c>
      <c r="C99" s="393" t="s">
        <v>771</v>
      </c>
      <c r="D99" s="395">
        <v>2</v>
      </c>
      <c r="E99" s="396"/>
      <c r="F99" s="396"/>
    </row>
    <row r="100" spans="1:6" ht="21.75" customHeight="1">
      <c r="A100" s="422">
        <f t="shared" si="1"/>
        <v>93</v>
      </c>
      <c r="B100" s="394" t="s">
        <v>802</v>
      </c>
      <c r="C100" s="393" t="s">
        <v>51</v>
      </c>
      <c r="D100" s="395">
        <v>3</v>
      </c>
      <c r="E100" s="396"/>
      <c r="F100" s="396"/>
    </row>
    <row r="101" spans="1:6" ht="21.75" customHeight="1">
      <c r="A101" s="422">
        <f t="shared" si="1"/>
        <v>94</v>
      </c>
      <c r="B101" s="394" t="s">
        <v>803</v>
      </c>
      <c r="C101" s="393" t="s">
        <v>51</v>
      </c>
      <c r="D101" s="395">
        <v>1</v>
      </c>
      <c r="E101" s="396"/>
      <c r="F101" s="396"/>
    </row>
    <row r="102" spans="1:6" ht="21.75" customHeight="1">
      <c r="A102" s="422">
        <f t="shared" si="1"/>
        <v>95</v>
      </c>
      <c r="B102" s="394" t="s">
        <v>804</v>
      </c>
      <c r="C102" s="393" t="s">
        <v>51</v>
      </c>
      <c r="D102" s="395">
        <v>1</v>
      </c>
      <c r="E102" s="396"/>
      <c r="F102" s="396"/>
    </row>
    <row r="103" spans="1:6" ht="21.75" customHeight="1">
      <c r="A103" s="422">
        <f t="shared" si="1"/>
        <v>96</v>
      </c>
      <c r="B103" s="394" t="s">
        <v>805</v>
      </c>
      <c r="C103" s="393" t="s">
        <v>51</v>
      </c>
      <c r="D103" s="395">
        <v>2</v>
      </c>
      <c r="E103" s="396"/>
      <c r="F103" s="396"/>
    </row>
    <row r="104" spans="1:6" ht="21.75" customHeight="1">
      <c r="A104" s="422">
        <f t="shared" si="1"/>
        <v>97</v>
      </c>
      <c r="B104" s="394" t="s">
        <v>806</v>
      </c>
      <c r="C104" s="393" t="s">
        <v>771</v>
      </c>
      <c r="D104" s="395">
        <v>2</v>
      </c>
      <c r="E104" s="396"/>
      <c r="F104" s="396"/>
    </row>
    <row r="105" spans="1:6" ht="21.75" customHeight="1">
      <c r="A105" s="422">
        <f t="shared" si="1"/>
        <v>98</v>
      </c>
      <c r="B105" s="394" t="s">
        <v>807</v>
      </c>
      <c r="C105" s="393" t="s">
        <v>51</v>
      </c>
      <c r="D105" s="395">
        <v>1</v>
      </c>
      <c r="E105" s="396"/>
      <c r="F105" s="396"/>
    </row>
    <row r="106" spans="1:6" ht="21.75" customHeight="1">
      <c r="A106" s="422">
        <f t="shared" si="1"/>
        <v>99</v>
      </c>
      <c r="B106" s="394" t="s">
        <v>808</v>
      </c>
      <c r="C106" s="393" t="s">
        <v>771</v>
      </c>
      <c r="D106" s="395">
        <v>1</v>
      </c>
      <c r="E106" s="396"/>
      <c r="F106" s="396"/>
    </row>
    <row r="107" spans="1:6" ht="21.75" customHeight="1">
      <c r="A107" s="422">
        <f t="shared" si="1"/>
        <v>100</v>
      </c>
      <c r="B107" s="394" t="s">
        <v>809</v>
      </c>
      <c r="C107" s="393" t="s">
        <v>771</v>
      </c>
      <c r="D107" s="395">
        <v>1</v>
      </c>
      <c r="E107" s="396"/>
      <c r="F107" s="396"/>
    </row>
    <row r="108" spans="1:6" ht="21.75" customHeight="1">
      <c r="A108" s="422">
        <f t="shared" si="1"/>
        <v>101</v>
      </c>
      <c r="B108" s="394" t="s">
        <v>810</v>
      </c>
      <c r="C108" s="393" t="s">
        <v>51</v>
      </c>
      <c r="D108" s="395">
        <v>3</v>
      </c>
      <c r="E108" s="396"/>
      <c r="F108" s="396"/>
    </row>
    <row r="109" spans="1:6" ht="21.75" customHeight="1">
      <c r="A109" s="422">
        <f t="shared" si="1"/>
        <v>102</v>
      </c>
      <c r="B109" s="394" t="s">
        <v>930</v>
      </c>
      <c r="C109" s="393" t="s">
        <v>51</v>
      </c>
      <c r="D109" s="395">
        <v>5</v>
      </c>
      <c r="E109" s="396"/>
      <c r="F109" s="396"/>
    </row>
    <row r="110" spans="1:6" ht="21.75" customHeight="1">
      <c r="A110" s="422">
        <f t="shared" si="1"/>
        <v>103</v>
      </c>
      <c r="B110" s="394" t="s">
        <v>812</v>
      </c>
      <c r="C110" s="393" t="s">
        <v>813</v>
      </c>
      <c r="D110" s="395">
        <v>1</v>
      </c>
      <c r="E110" s="396"/>
      <c r="F110" s="396"/>
    </row>
    <row r="111" spans="1:6" ht="21.75" customHeight="1">
      <c r="A111" s="422">
        <f t="shared" si="1"/>
        <v>104</v>
      </c>
      <c r="B111" s="394" t="s">
        <v>814</v>
      </c>
      <c r="C111" s="393" t="s">
        <v>771</v>
      </c>
      <c r="D111" s="395">
        <v>1</v>
      </c>
      <c r="E111" s="396"/>
      <c r="F111" s="396"/>
    </row>
    <row r="112" spans="1:6" s="398" customFormat="1" ht="22.5" customHeight="1">
      <c r="A112" s="422">
        <f>A111+1</f>
        <v>105</v>
      </c>
      <c r="B112" s="401" t="s">
        <v>677</v>
      </c>
      <c r="C112" s="393" t="s">
        <v>667</v>
      </c>
      <c r="D112" s="402">
        <v>1</v>
      </c>
      <c r="E112" s="403"/>
      <c r="F112" s="396"/>
    </row>
    <row r="113" spans="1:6" s="398" customFormat="1" ht="20.25" customHeight="1">
      <c r="A113" s="404"/>
      <c r="B113" s="404" t="s">
        <v>407</v>
      </c>
      <c r="C113" s="404"/>
      <c r="D113" s="405"/>
      <c r="E113" s="406"/>
      <c r="F113" s="407">
        <f>SUM(F8:F112)</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7"/>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6" s="199" customFormat="1" ht="32.25" customHeight="1">
      <c r="A1" s="231" t="str">
        <f>'N2-5'!A1:F1</f>
        <v>yazbegis, aragvis, fSav-xevsureTisa da TuSeTis dacul teritoriebze arsebuli 7 qoxis saxarjTaRricxvo dokumentacia.</v>
      </c>
      <c r="B1" s="198"/>
      <c r="C1" s="198"/>
      <c r="D1" s="198"/>
      <c r="E1" s="198"/>
      <c r="F1" s="198"/>
    </row>
    <row r="2" spans="1:6" s="376" customFormat="1" ht="13.5" customHeight="1">
      <c r="A2" s="375" t="s">
        <v>664</v>
      </c>
      <c r="B2" s="375"/>
      <c r="C2" s="375"/>
      <c r="D2" s="375"/>
      <c r="E2" s="375"/>
      <c r="F2" s="375"/>
    </row>
    <row r="3" spans="1:6" s="376" customFormat="1" ht="19.5" customHeight="1">
      <c r="A3" s="330" t="s">
        <v>858</v>
      </c>
      <c r="B3" s="330"/>
      <c r="C3" s="330"/>
      <c r="D3" s="330"/>
      <c r="E3" s="330"/>
      <c r="F3" s="330"/>
    </row>
    <row r="4" spans="1:6" s="335" customFormat="1" ht="20.25" customHeight="1">
      <c r="A4" s="377" t="s">
        <v>931</v>
      </c>
      <c r="B4" s="377"/>
      <c r="C4" s="377"/>
      <c r="D4" s="377"/>
      <c r="E4" s="377"/>
      <c r="F4" s="377"/>
    </row>
    <row r="5" spans="1:6" s="199" customFormat="1" ht="19.5" customHeight="1" thickBot="1">
      <c r="A5" s="379" t="s">
        <v>516</v>
      </c>
      <c r="B5" s="379"/>
      <c r="C5" s="379"/>
      <c r="D5" s="379"/>
      <c r="E5" s="379"/>
      <c r="F5" s="379"/>
    </row>
    <row r="6" spans="1:6" ht="87.6" customHeight="1">
      <c r="A6" s="381" t="s">
        <v>523</v>
      </c>
      <c r="B6" s="382" t="s">
        <v>524</v>
      </c>
      <c r="C6" s="383" t="s">
        <v>525</v>
      </c>
      <c r="D6" s="384" t="s">
        <v>411</v>
      </c>
      <c r="E6" s="385" t="s">
        <v>526</v>
      </c>
      <c r="F6" s="386" t="s">
        <v>527</v>
      </c>
    </row>
    <row r="7" spans="1:6">
      <c r="A7" s="411">
        <v>1</v>
      </c>
      <c r="B7" s="411">
        <v>2</v>
      </c>
      <c r="C7" s="412">
        <v>3</v>
      </c>
      <c r="D7" s="413" t="s">
        <v>488</v>
      </c>
      <c r="E7" s="414" t="s">
        <v>513</v>
      </c>
      <c r="F7" s="413" t="s">
        <v>515</v>
      </c>
    </row>
    <row r="8" spans="1:6" s="397" customFormat="1" ht="18.75" customHeight="1">
      <c r="A8" s="393" t="s">
        <v>5</v>
      </c>
      <c r="B8" s="394" t="s">
        <v>816</v>
      </c>
      <c r="C8" s="393" t="s">
        <v>667</v>
      </c>
      <c r="D8" s="395">
        <v>1</v>
      </c>
      <c r="E8" s="396"/>
      <c r="F8" s="396"/>
    </row>
    <row r="9" spans="1:6" s="397" customFormat="1" ht="18.75" customHeight="1">
      <c r="A9" s="393" t="s">
        <v>7</v>
      </c>
      <c r="B9" s="394" t="s">
        <v>676</v>
      </c>
      <c r="C9" s="393" t="s">
        <v>667</v>
      </c>
      <c r="D9" s="395">
        <v>1</v>
      </c>
      <c r="E9" s="396"/>
      <c r="F9" s="396"/>
    </row>
    <row r="10" spans="1:6" s="398" customFormat="1" ht="18.75" customHeight="1">
      <c r="A10" s="393" t="s">
        <v>487</v>
      </c>
      <c r="B10" s="394" t="s">
        <v>817</v>
      </c>
      <c r="C10" s="393" t="s">
        <v>667</v>
      </c>
      <c r="D10" s="395">
        <v>10</v>
      </c>
      <c r="E10" s="396"/>
      <c r="F10" s="396"/>
    </row>
    <row r="11" spans="1:6" s="397" customFormat="1" ht="42" customHeight="1">
      <c r="A11" s="422">
        <f t="shared" ref="A11:A26" si="0">A10+1</f>
        <v>4</v>
      </c>
      <c r="B11" s="394" t="s">
        <v>818</v>
      </c>
      <c r="C11" s="393" t="s">
        <v>667</v>
      </c>
      <c r="D11" s="395">
        <v>10</v>
      </c>
      <c r="E11" s="396"/>
      <c r="F11" s="396"/>
    </row>
    <row r="12" spans="1:6" s="397" customFormat="1" ht="31.5" customHeight="1">
      <c r="A12" s="422">
        <f t="shared" si="0"/>
        <v>5</v>
      </c>
      <c r="B12" s="394" t="s">
        <v>819</v>
      </c>
      <c r="C12" s="393" t="s">
        <v>667</v>
      </c>
      <c r="D12" s="395">
        <v>1</v>
      </c>
      <c r="E12" s="396"/>
      <c r="F12" s="396"/>
    </row>
    <row r="13" spans="1:6" s="398" customFormat="1" ht="31.5" customHeight="1">
      <c r="A13" s="422">
        <f t="shared" si="0"/>
        <v>6</v>
      </c>
      <c r="B13" s="394" t="s">
        <v>820</v>
      </c>
      <c r="C13" s="393" t="s">
        <v>667</v>
      </c>
      <c r="D13" s="395">
        <v>1</v>
      </c>
      <c r="E13" s="396"/>
      <c r="F13" s="396"/>
    </row>
    <row r="14" spans="1:6" s="397" customFormat="1" ht="31.5" customHeight="1">
      <c r="A14" s="422">
        <f t="shared" si="0"/>
        <v>7</v>
      </c>
      <c r="B14" s="394" t="s">
        <v>821</v>
      </c>
      <c r="C14" s="393" t="s">
        <v>667</v>
      </c>
      <c r="D14" s="395">
        <v>2</v>
      </c>
      <c r="E14" s="396"/>
      <c r="F14" s="396"/>
    </row>
    <row r="15" spans="1:6" s="398" customFormat="1" ht="31.5" customHeight="1">
      <c r="A15" s="422">
        <f t="shared" si="0"/>
        <v>8</v>
      </c>
      <c r="B15" s="394" t="s">
        <v>822</v>
      </c>
      <c r="C15" s="393" t="s">
        <v>667</v>
      </c>
      <c r="D15" s="395">
        <v>5</v>
      </c>
      <c r="E15" s="396"/>
      <c r="F15" s="396"/>
    </row>
    <row r="16" spans="1:6" s="398" customFormat="1" ht="31.5" customHeight="1">
      <c r="A16" s="422">
        <f t="shared" si="0"/>
        <v>9</v>
      </c>
      <c r="B16" s="394" t="s">
        <v>932</v>
      </c>
      <c r="C16" s="393" t="s">
        <v>824</v>
      </c>
      <c r="D16" s="395">
        <v>100</v>
      </c>
      <c r="E16" s="396"/>
      <c r="F16" s="396"/>
    </row>
    <row r="17" spans="1:6" s="398" customFormat="1" ht="31.5" customHeight="1">
      <c r="A17" s="422">
        <f t="shared" si="0"/>
        <v>10</v>
      </c>
      <c r="B17" s="394" t="s">
        <v>933</v>
      </c>
      <c r="C17" s="393" t="s">
        <v>824</v>
      </c>
      <c r="D17" s="395">
        <v>40</v>
      </c>
      <c r="E17" s="396"/>
      <c r="F17" s="396"/>
    </row>
    <row r="18" spans="1:6" s="398" customFormat="1" ht="21.75" customHeight="1">
      <c r="A18" s="422">
        <f t="shared" si="0"/>
        <v>11</v>
      </c>
      <c r="B18" s="394" t="s">
        <v>826</v>
      </c>
      <c r="C18" s="393"/>
      <c r="D18" s="395">
        <v>2</v>
      </c>
      <c r="E18" s="396"/>
      <c r="F18" s="396"/>
    </row>
    <row r="19" spans="1:6" ht="21.75" customHeight="1">
      <c r="A19" s="422">
        <f t="shared" si="0"/>
        <v>12</v>
      </c>
      <c r="B19" s="394" t="s">
        <v>827</v>
      </c>
      <c r="C19" s="393" t="s">
        <v>667</v>
      </c>
      <c r="D19" s="395">
        <v>1</v>
      </c>
      <c r="E19" s="396"/>
      <c r="F19" s="396"/>
    </row>
    <row r="20" spans="1:6" ht="21.75" customHeight="1">
      <c r="A20" s="422">
        <f t="shared" si="0"/>
        <v>13</v>
      </c>
      <c r="B20" s="394" t="s">
        <v>828</v>
      </c>
      <c r="C20" s="393" t="s">
        <v>667</v>
      </c>
      <c r="D20" s="395">
        <v>1</v>
      </c>
      <c r="E20" s="396"/>
      <c r="F20" s="396"/>
    </row>
    <row r="21" spans="1:6" ht="33" customHeight="1">
      <c r="A21" s="422">
        <f t="shared" si="0"/>
        <v>14</v>
      </c>
      <c r="B21" s="394" t="s">
        <v>829</v>
      </c>
      <c r="C21" s="393" t="s">
        <v>674</v>
      </c>
      <c r="D21" s="395">
        <v>1</v>
      </c>
      <c r="E21" s="396"/>
      <c r="F21" s="396"/>
    </row>
    <row r="22" spans="1:6" ht="33" customHeight="1">
      <c r="A22" s="422">
        <f t="shared" si="0"/>
        <v>15</v>
      </c>
      <c r="B22" s="394" t="s">
        <v>830</v>
      </c>
      <c r="C22" s="393" t="s">
        <v>674</v>
      </c>
      <c r="D22" s="395">
        <v>1</v>
      </c>
      <c r="E22" s="396"/>
      <c r="F22" s="396"/>
    </row>
    <row r="23" spans="1:6" ht="33" customHeight="1">
      <c r="A23" s="422">
        <f t="shared" si="0"/>
        <v>16</v>
      </c>
      <c r="B23" s="394" t="s">
        <v>831</v>
      </c>
      <c r="C23" s="393" t="s">
        <v>674</v>
      </c>
      <c r="D23" s="395">
        <v>1</v>
      </c>
      <c r="E23" s="396"/>
      <c r="F23" s="396"/>
    </row>
    <row r="24" spans="1:6" ht="21.75" customHeight="1">
      <c r="A24" s="422">
        <f t="shared" si="0"/>
        <v>17</v>
      </c>
      <c r="B24" s="394" t="s">
        <v>832</v>
      </c>
      <c r="C24" s="393" t="s">
        <v>674</v>
      </c>
      <c r="D24" s="395">
        <v>30</v>
      </c>
      <c r="E24" s="396"/>
      <c r="F24" s="396"/>
    </row>
    <row r="25" spans="1:6" ht="21.75" customHeight="1">
      <c r="A25" s="422">
        <f t="shared" si="0"/>
        <v>18</v>
      </c>
      <c r="B25" s="394" t="s">
        <v>676</v>
      </c>
      <c r="C25" s="393" t="s">
        <v>667</v>
      </c>
      <c r="D25" s="395">
        <v>1</v>
      </c>
      <c r="E25" s="396"/>
      <c r="F25" s="396"/>
    </row>
    <row r="26" spans="1:6" s="398" customFormat="1" ht="22.5" customHeight="1">
      <c r="A26" s="422">
        <f t="shared" si="0"/>
        <v>19</v>
      </c>
      <c r="B26" s="401" t="s">
        <v>677</v>
      </c>
      <c r="C26" s="416" t="s">
        <v>833</v>
      </c>
      <c r="D26" s="402">
        <v>1</v>
      </c>
      <c r="E26" s="403"/>
      <c r="F26" s="396"/>
    </row>
    <row r="27" spans="1:6" s="398" customFormat="1" ht="20.25" customHeight="1">
      <c r="A27" s="404"/>
      <c r="B27" s="404" t="s">
        <v>407</v>
      </c>
      <c r="C27" s="404"/>
      <c r="D27" s="405"/>
      <c r="E27" s="406"/>
      <c r="F27" s="407">
        <f>SUM(F8:F26)</f>
        <v>0</v>
      </c>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5"/>
  <sheetViews>
    <sheetView topLeftCell="A3" zoomScaleNormal="100" workbookViewId="0">
      <selection activeCell="B8" sqref="B8"/>
    </sheetView>
  </sheetViews>
  <sheetFormatPr defaultRowHeight="15.75"/>
  <cols>
    <col min="1" max="1" width="6" style="408" customWidth="1"/>
    <col min="2" max="2" width="49.5703125" style="344" customWidth="1"/>
    <col min="3" max="3" width="8" style="344" customWidth="1"/>
    <col min="4" max="4" width="8.140625" style="409" customWidth="1"/>
    <col min="5" max="5" width="11.28515625" style="409" customWidth="1"/>
    <col min="6" max="6" width="11.140625" style="409" customWidth="1"/>
    <col min="7" max="16384" width="9.140625" style="344"/>
  </cols>
  <sheetData>
    <row r="1" spans="1:6" s="199" customFormat="1" ht="32.25" customHeight="1">
      <c r="A1" s="231" t="str">
        <f>'N2-6'!A1:F1</f>
        <v>yazbegis, aragvis, fSav-xevsureTisa da TuSeTis dacul teritoriebze arsebuli 7 qoxis saxarjTaRricxvo dokumentacia.</v>
      </c>
      <c r="B1" s="198"/>
      <c r="C1" s="198"/>
      <c r="D1" s="198"/>
      <c r="E1" s="198"/>
      <c r="F1" s="198"/>
    </row>
    <row r="2" spans="1:6" s="376" customFormat="1" ht="13.5" customHeight="1">
      <c r="A2" s="375" t="s">
        <v>664</v>
      </c>
      <c r="B2" s="375"/>
      <c r="C2" s="375"/>
      <c r="D2" s="375"/>
      <c r="E2" s="375"/>
      <c r="F2" s="375"/>
    </row>
    <row r="3" spans="1:6" s="376" customFormat="1" ht="19.5" customHeight="1">
      <c r="A3" s="330" t="s">
        <v>858</v>
      </c>
      <c r="B3" s="330"/>
      <c r="C3" s="330"/>
      <c r="D3" s="330"/>
      <c r="E3" s="330"/>
      <c r="F3" s="330"/>
    </row>
    <row r="4" spans="1:6" s="335" customFormat="1" ht="20.25" customHeight="1">
      <c r="A4" s="377" t="s">
        <v>934</v>
      </c>
      <c r="B4" s="377"/>
      <c r="C4" s="377"/>
      <c r="D4" s="377"/>
      <c r="E4" s="377"/>
      <c r="F4" s="377"/>
    </row>
    <row r="5" spans="1:6" s="199" customFormat="1" ht="19.5" customHeight="1" thickBot="1">
      <c r="A5" s="379" t="s">
        <v>517</v>
      </c>
      <c r="B5" s="379"/>
      <c r="C5" s="379"/>
      <c r="D5" s="379"/>
      <c r="E5" s="379"/>
      <c r="F5" s="379"/>
    </row>
    <row r="6" spans="1:6" ht="87.6" customHeight="1" thickBot="1">
      <c r="A6" s="381" t="s">
        <v>523</v>
      </c>
      <c r="B6" s="382" t="s">
        <v>524</v>
      </c>
      <c r="C6" s="383" t="s">
        <v>525</v>
      </c>
      <c r="D6" s="384" t="s">
        <v>411</v>
      </c>
      <c r="E6" s="385" t="s">
        <v>526</v>
      </c>
      <c r="F6" s="386" t="s">
        <v>527</v>
      </c>
    </row>
    <row r="7" spans="1:6" ht="16.5" thickBot="1">
      <c r="A7" s="387">
        <v>1</v>
      </c>
      <c r="B7" s="388">
        <v>2</v>
      </c>
      <c r="C7" s="389">
        <v>3</v>
      </c>
      <c r="D7" s="390" t="s">
        <v>488</v>
      </c>
      <c r="E7" s="391" t="s">
        <v>513</v>
      </c>
      <c r="F7" s="392" t="s">
        <v>515</v>
      </c>
    </row>
    <row r="8" spans="1:6" s="397" customFormat="1" ht="36.75" customHeight="1">
      <c r="A8" s="393" t="s">
        <v>5</v>
      </c>
      <c r="B8" s="394" t="s">
        <v>935</v>
      </c>
      <c r="C8" s="393" t="s">
        <v>667</v>
      </c>
      <c r="D8" s="395">
        <v>1</v>
      </c>
      <c r="E8" s="396"/>
      <c r="F8" s="396"/>
    </row>
    <row r="9" spans="1:6" s="397" customFormat="1" ht="53.25" customHeight="1">
      <c r="A9" s="393" t="s">
        <v>7</v>
      </c>
      <c r="B9" s="394" t="s">
        <v>936</v>
      </c>
      <c r="C9" s="393" t="s">
        <v>824</v>
      </c>
      <c r="D9" s="395">
        <v>150</v>
      </c>
      <c r="E9" s="396"/>
      <c r="F9" s="396"/>
    </row>
    <row r="10" spans="1:6" s="398" customFormat="1" ht="25.5">
      <c r="A10" s="393" t="s">
        <v>487</v>
      </c>
      <c r="B10" s="394" t="s">
        <v>937</v>
      </c>
      <c r="C10" s="393" t="s">
        <v>674</v>
      </c>
      <c r="D10" s="395">
        <v>50</v>
      </c>
      <c r="E10" s="396"/>
      <c r="F10" s="396"/>
    </row>
    <row r="11" spans="1:6" s="397" customFormat="1" ht="30.75" customHeight="1">
      <c r="A11" s="393" t="s">
        <v>488</v>
      </c>
      <c r="B11" s="394" t="s">
        <v>938</v>
      </c>
      <c r="C11" s="393" t="s">
        <v>824</v>
      </c>
      <c r="D11" s="395">
        <v>30</v>
      </c>
      <c r="E11" s="396"/>
      <c r="F11" s="396"/>
    </row>
    <row r="12" spans="1:6" s="398" customFormat="1" ht="52.5" customHeight="1">
      <c r="A12" s="393" t="s">
        <v>513</v>
      </c>
      <c r="B12" s="394" t="s">
        <v>939</v>
      </c>
      <c r="C12" s="393" t="s">
        <v>674</v>
      </c>
      <c r="D12" s="395">
        <v>30</v>
      </c>
      <c r="E12" s="396"/>
      <c r="F12" s="396"/>
    </row>
    <row r="13" spans="1:6" s="398" customFormat="1" ht="54" customHeight="1">
      <c r="A13" s="393" t="s">
        <v>515</v>
      </c>
      <c r="B13" s="394" t="s">
        <v>840</v>
      </c>
      <c r="C13" s="393" t="s">
        <v>674</v>
      </c>
      <c r="D13" s="395">
        <v>10</v>
      </c>
      <c r="E13" s="396"/>
      <c r="F13" s="396"/>
    </row>
    <row r="14" spans="1:6" s="398" customFormat="1" ht="54" customHeight="1">
      <c r="A14" s="393" t="s">
        <v>675</v>
      </c>
      <c r="B14" s="394" t="s">
        <v>841</v>
      </c>
      <c r="C14" s="393" t="s">
        <v>674</v>
      </c>
      <c r="D14" s="395">
        <v>12</v>
      </c>
      <c r="E14" s="396"/>
      <c r="F14" s="396"/>
    </row>
    <row r="15" spans="1:6" s="398" customFormat="1" ht="54" customHeight="1">
      <c r="A15" s="393" t="s">
        <v>686</v>
      </c>
      <c r="B15" s="394" t="s">
        <v>842</v>
      </c>
      <c r="C15" s="393" t="s">
        <v>674</v>
      </c>
      <c r="D15" s="395">
        <v>10</v>
      </c>
      <c r="E15" s="396"/>
      <c r="F15" s="396"/>
    </row>
    <row r="16" spans="1:6" s="398" customFormat="1" ht="54" customHeight="1">
      <c r="A16" s="393" t="s">
        <v>688</v>
      </c>
      <c r="B16" s="394" t="s">
        <v>843</v>
      </c>
      <c r="C16" s="393" t="s">
        <v>674</v>
      </c>
      <c r="D16" s="395">
        <v>3</v>
      </c>
      <c r="E16" s="396"/>
      <c r="F16" s="396"/>
    </row>
    <row r="17" spans="1:6" ht="38.25">
      <c r="A17" s="393" t="s">
        <v>690</v>
      </c>
      <c r="B17" s="394" t="s">
        <v>844</v>
      </c>
      <c r="C17" s="393" t="s">
        <v>824</v>
      </c>
      <c r="D17" s="395">
        <v>200</v>
      </c>
      <c r="E17" s="396"/>
      <c r="F17" s="396"/>
    </row>
    <row r="18" spans="1:6" ht="38.25">
      <c r="A18" s="393" t="s">
        <v>692</v>
      </c>
      <c r="B18" s="394" t="s">
        <v>940</v>
      </c>
      <c r="C18" s="393" t="s">
        <v>824</v>
      </c>
      <c r="D18" s="395">
        <v>250</v>
      </c>
      <c r="E18" s="396"/>
      <c r="F18" s="396"/>
    </row>
    <row r="19" spans="1:6">
      <c r="A19" s="393" t="s">
        <v>694</v>
      </c>
      <c r="B19" s="394" t="s">
        <v>676</v>
      </c>
      <c r="C19" s="393" t="s">
        <v>667</v>
      </c>
      <c r="D19" s="395">
        <v>1</v>
      </c>
      <c r="E19" s="396"/>
      <c r="F19" s="396"/>
    </row>
    <row r="20" spans="1:6" s="398" customFormat="1" ht="22.5" customHeight="1">
      <c r="A20" s="422">
        <f t="shared" ref="A20" si="0">A19+1</f>
        <v>13</v>
      </c>
      <c r="B20" s="401" t="s">
        <v>677</v>
      </c>
      <c r="C20" s="416" t="s">
        <v>833</v>
      </c>
      <c r="D20" s="402">
        <v>1</v>
      </c>
      <c r="E20" s="403"/>
      <c r="F20" s="396"/>
    </row>
    <row r="21" spans="1:6" s="398" customFormat="1" ht="20.25" customHeight="1">
      <c r="A21" s="404"/>
      <c r="B21" s="404" t="s">
        <v>407</v>
      </c>
      <c r="C21" s="404"/>
      <c r="D21" s="405"/>
      <c r="E21" s="406"/>
      <c r="F21" s="407">
        <f>SUM(F8:F20)</f>
        <v>0</v>
      </c>
    </row>
    <row r="25" spans="1:6">
      <c r="F25" s="398"/>
    </row>
  </sheetData>
  <mergeCells count="5">
    <mergeCell ref="A1:F1"/>
    <mergeCell ref="A2:F2"/>
    <mergeCell ref="A3:F3"/>
    <mergeCell ref="A4:F4"/>
    <mergeCell ref="A5:F5"/>
  </mergeCells>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144</vt:i4>
      </vt:variant>
    </vt:vector>
  </HeadingPairs>
  <TitlesOfParts>
    <vt:vector size="144" baseType="lpstr">
      <vt:lpstr>გაერთიანებული (ბილიკი+ქოხები)</vt:lpstr>
      <vt:lpstr> კრებსითი (ბილიკი)</vt:lpstr>
      <vt:lpstr>დღიური-ნაკრები</vt:lpstr>
      <vt:lpstr>დღიური სამუშაოები</vt:lpstr>
      <vt:lpstr>ჯამური სამშ.სამუშ.</vt:lpstr>
      <vt:lpstr>ო.ბ-1</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ო.ბ-2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2-23</vt:lpstr>
      <vt:lpstr>2-24</vt:lpstr>
      <vt:lpstr>2-25</vt:lpstr>
      <vt:lpstr>2-26</vt:lpstr>
      <vt:lpstr>2-27</vt:lpstr>
      <vt:lpstr>2-28</vt:lpstr>
      <vt:lpstr>2-29</vt:lpstr>
      <vt:lpstr>2-30</vt:lpstr>
      <vt:lpstr>2-31</vt:lpstr>
      <vt:lpstr>2-32</vt:lpstr>
      <vt:lpstr>ო.ბ-3</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კრებსითი (ქოხები)</vt:lpstr>
      <vt:lpstr>D-nakr</vt:lpstr>
      <vt:lpstr>D-dgiuri</vt:lpstr>
      <vt:lpstr>sv</vt:lpstr>
      <vt:lpstr>ob N1</vt:lpstr>
      <vt:lpstr> N1-1</vt:lpstr>
      <vt:lpstr>N1-2</vt:lpstr>
      <vt:lpstr>N1-3</vt:lpstr>
      <vt:lpstr>N1-4 </vt:lpstr>
      <vt:lpstr>N1-5</vt:lpstr>
      <vt:lpstr>N1-6</vt:lpstr>
      <vt:lpstr>N1-7</vt:lpstr>
      <vt:lpstr>N1-8</vt:lpstr>
      <vt:lpstr>ob.N2</vt:lpstr>
      <vt:lpstr>N2-1</vt:lpstr>
      <vt:lpstr>N2-2</vt:lpstr>
      <vt:lpstr>N2-3</vt:lpstr>
      <vt:lpstr>N2-4</vt:lpstr>
      <vt:lpstr>N2-5</vt:lpstr>
      <vt:lpstr>N2-6</vt:lpstr>
      <vt:lpstr>N2-7</vt:lpstr>
      <vt:lpstr>N2-8</vt:lpstr>
      <vt:lpstr>ob.N3</vt:lpstr>
      <vt:lpstr>N3-1</vt:lpstr>
      <vt:lpstr>N3-2</vt:lpstr>
      <vt:lpstr>N3-3</vt:lpstr>
      <vt:lpstr>N3-4</vt:lpstr>
      <vt:lpstr>N3-5</vt:lpstr>
      <vt:lpstr>N3-6</vt:lpstr>
      <vt:lpstr>N3-7</vt:lpstr>
      <vt:lpstr>N3-8</vt:lpstr>
      <vt:lpstr>ob.N4</vt:lpstr>
      <vt:lpstr>N4-1</vt:lpstr>
      <vt:lpstr>N4-2</vt:lpstr>
      <vt:lpstr>N4-3</vt:lpstr>
      <vt:lpstr>N4-4</vt:lpstr>
      <vt:lpstr>N4-5</vt:lpstr>
      <vt:lpstr>N4-6</vt:lpstr>
      <vt:lpstr>N4-7</vt:lpstr>
      <vt:lpstr>N4-8</vt:lpstr>
      <vt:lpstr>ob.N5</vt:lpstr>
      <vt:lpstr>N5-1</vt:lpstr>
      <vt:lpstr>N5-2</vt:lpstr>
      <vt:lpstr>N5-3</vt:lpstr>
      <vt:lpstr>N5-4</vt:lpstr>
      <vt:lpstr>N5-5</vt:lpstr>
      <vt:lpstr>N5-6</vt:lpstr>
      <vt:lpstr>N5-7</vt:lpstr>
      <vt:lpstr>ob.N6</vt:lpstr>
      <vt:lpstr>N6-1</vt:lpstr>
      <vt:lpstr>N6-2</vt:lpstr>
      <vt:lpstr>N6-3</vt:lpstr>
      <vt:lpstr>N6-4</vt:lpstr>
      <vt:lpstr>N6-5</vt:lpstr>
      <vt:lpstr>N6-6</vt:lpstr>
      <vt:lpstr>N6-7</vt:lpstr>
      <vt:lpstr>N6-8</vt:lpstr>
      <vt:lpstr>ob.N7</vt:lpstr>
      <vt:lpstr>N7-1</vt:lpstr>
      <vt:lpstr>N7-2</vt:lpstr>
      <vt:lpstr>N7-3</vt:lpstr>
      <vt:lpstr>N7-4</vt:lpstr>
      <vt:lpstr>N7-5</vt:lpstr>
      <vt:lpstr>N7-6</vt:lpstr>
      <vt:lpstr>N7-7</vt:lpstr>
      <vt:lpstr>N7-8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Giorgi Mikeladze</cp:lastModifiedBy>
  <dcterms:created xsi:type="dcterms:W3CDTF">2015-06-05T18:17:20Z</dcterms:created>
  <dcterms:modified xsi:type="dcterms:W3CDTF">2021-12-14T15:12:02Z</dcterms:modified>
</cp:coreProperties>
</file>